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10"/>
  </bookViews>
  <sheets>
    <sheet name="26.07" sheetId="1" r:id="rId1"/>
    <sheet name="23.08" sheetId="2" r:id="rId2"/>
    <sheet name="25.08" sheetId="3" r:id="rId3"/>
    <sheet name="31.08" sheetId="4" r:id="rId4"/>
    <sheet name="12.09" sheetId="5" r:id="rId5"/>
    <sheet name="20.09" sheetId="6" r:id="rId6"/>
    <sheet name="29.09" sheetId="7" r:id="rId7"/>
    <sheet name="27.10" sheetId="8" r:id="rId8"/>
    <sheet name="30.10" sheetId="9" r:id="rId9"/>
    <sheet name="02.11" sheetId="10" r:id="rId10"/>
    <sheet name="23.11" sheetId="11" r:id="rId11"/>
  </sheets>
  <externalReferences>
    <externalReference r:id="rId14"/>
  </externalReferences>
  <definedNames>
    <definedName name="_1._zest_uchwał_" localSheetId="9">#REF!</definedName>
    <definedName name="_1._zest_uchwał_" localSheetId="4">#REF!</definedName>
    <definedName name="_1._zest_uchwał_" localSheetId="5">#REF!</definedName>
    <definedName name="_1._zest_uchwał_" localSheetId="1">#REF!</definedName>
    <definedName name="_1._zest_uchwał_" localSheetId="10">#REF!</definedName>
    <definedName name="_1._zest_uchwał_" localSheetId="7">#REF!</definedName>
    <definedName name="_1._zest_uchwał_" localSheetId="6">#REF!</definedName>
    <definedName name="_1._zest_uchwał_" localSheetId="8">#REF!</definedName>
    <definedName name="_1._zest_uchwał_" localSheetId="3">#REF!</definedName>
    <definedName name="_1._zest_uchwał_">#REF!</definedName>
    <definedName name="_10._inwestycje" localSheetId="9">#REF!</definedName>
    <definedName name="_10._inwestycje" localSheetId="4">#REF!</definedName>
    <definedName name="_10._inwestycje" localSheetId="5">#REF!</definedName>
    <definedName name="_10._inwestycje" localSheetId="1">'23.08'!#REF!</definedName>
    <definedName name="_10._inwestycje" localSheetId="10">#REF!</definedName>
    <definedName name="_10._inwestycje" localSheetId="0">'26.07'!#REF!</definedName>
    <definedName name="_10._inwestycje" localSheetId="7">#REF!</definedName>
    <definedName name="_10._inwestycje" localSheetId="6">#REF!</definedName>
    <definedName name="_10._inwestycje" localSheetId="8">#REF!</definedName>
    <definedName name="_10._inwestycje" localSheetId="3">#REF!</definedName>
    <definedName name="_10._inwestycje">#REF!</definedName>
    <definedName name="_2._plan_doch_" localSheetId="9">#REF!</definedName>
    <definedName name="_2._plan_doch_" localSheetId="4">#REF!</definedName>
    <definedName name="_2._plan_doch_" localSheetId="5">#REF!</definedName>
    <definedName name="_2._plan_doch_" localSheetId="1">#REF!</definedName>
    <definedName name="_2._plan_doch_" localSheetId="10">#REF!</definedName>
    <definedName name="_2._plan_doch_" localSheetId="7">#REF!</definedName>
    <definedName name="_2._plan_doch_" localSheetId="6">#REF!</definedName>
    <definedName name="_2._plan_doch_" localSheetId="8">#REF!</definedName>
    <definedName name="_2._plan_doch_" localSheetId="3">#REF!</definedName>
    <definedName name="_2._plan_doch_">#REF!</definedName>
    <definedName name="_3._plan_wydatków" localSheetId="9">#REF!</definedName>
    <definedName name="_3._plan_wydatków" localSheetId="4">#REF!</definedName>
    <definedName name="_3._plan_wydatków" localSheetId="5">#REF!</definedName>
    <definedName name="_3._plan_wydatków" localSheetId="1">#REF!</definedName>
    <definedName name="_3._plan_wydatków" localSheetId="10">#REF!</definedName>
    <definedName name="_3._plan_wydatków" localSheetId="7">#REF!</definedName>
    <definedName name="_3._plan_wydatków" localSheetId="6">#REF!</definedName>
    <definedName name="_3._plan_wydatków" localSheetId="8">#REF!</definedName>
    <definedName name="_3._plan_wydatków" localSheetId="3">#REF!</definedName>
    <definedName name="_3._plan_wydatków">#REF!</definedName>
    <definedName name="_4._zmiany_planu" localSheetId="9">#REF!</definedName>
    <definedName name="_4._zmiany_planu" localSheetId="4">#REF!</definedName>
    <definedName name="_4._zmiany_planu" localSheetId="5">#REF!</definedName>
    <definedName name="_4._zmiany_planu" localSheetId="1">#REF!</definedName>
    <definedName name="_4._zmiany_planu" localSheetId="10">#REF!</definedName>
    <definedName name="_4._zmiany_planu" localSheetId="7">#REF!</definedName>
    <definedName name="_4._zmiany_planu" localSheetId="6">#REF!</definedName>
    <definedName name="_4._zmiany_planu" localSheetId="8">#REF!</definedName>
    <definedName name="_4._zmiany_planu" localSheetId="3">#REF!</definedName>
    <definedName name="_4._zmiany_planu">#REF!</definedName>
    <definedName name="_5._zał_dochody" localSheetId="9">#REF!</definedName>
    <definedName name="_5._zał_dochody" localSheetId="4">#REF!</definedName>
    <definedName name="_5._zał_dochody" localSheetId="5">#REF!</definedName>
    <definedName name="_5._zał_dochody" localSheetId="1">#REF!</definedName>
    <definedName name="_5._zał_dochody" localSheetId="10">#REF!</definedName>
    <definedName name="_5._zał_dochody" localSheetId="7">#REF!</definedName>
    <definedName name="_5._zał_dochody" localSheetId="6">#REF!</definedName>
    <definedName name="_5._zał_dochody" localSheetId="8">#REF!</definedName>
    <definedName name="_5._zał_dochody" localSheetId="3">#REF!</definedName>
    <definedName name="_5._zał_dochody">#REF!</definedName>
    <definedName name="_6._doch_robocze" localSheetId="9">#REF!</definedName>
    <definedName name="_6._doch_robocze" localSheetId="4">#REF!</definedName>
    <definedName name="_6._doch_robocze" localSheetId="5">#REF!</definedName>
    <definedName name="_6._doch_robocze" localSheetId="1">#REF!</definedName>
    <definedName name="_6._doch_robocze" localSheetId="10">#REF!</definedName>
    <definedName name="_6._doch_robocze" localSheetId="7">#REF!</definedName>
    <definedName name="_6._doch_robocze" localSheetId="6">#REF!</definedName>
    <definedName name="_6._doch_robocze" localSheetId="8">#REF!</definedName>
    <definedName name="_6._doch_robocze" localSheetId="3">#REF!</definedName>
    <definedName name="_6._doch_robocze">#REF!</definedName>
    <definedName name="_7._zał_wyd_wyk" localSheetId="9">#REF!</definedName>
    <definedName name="_7._zał_wyd_wyk" localSheetId="4">#REF!</definedName>
    <definedName name="_7._zał_wyd_wyk" localSheetId="5">#REF!</definedName>
    <definedName name="_7._zał_wyd_wyk" localSheetId="1">#REF!</definedName>
    <definedName name="_7._zał_wyd_wyk" localSheetId="10">#REF!</definedName>
    <definedName name="_7._zał_wyd_wyk" localSheetId="7">#REF!</definedName>
    <definedName name="_7._zał_wyd_wyk" localSheetId="6">#REF!</definedName>
    <definedName name="_7._zał_wyd_wyk" localSheetId="8">#REF!</definedName>
    <definedName name="_7._zał_wyd_wyk" localSheetId="3">#REF!</definedName>
    <definedName name="_7._zał_wyd_wyk">#REF!</definedName>
    <definedName name="_8._wyd_robocze" localSheetId="9">#REF!</definedName>
    <definedName name="_8._wyd_robocze" localSheetId="4">#REF!</definedName>
    <definedName name="_8._wyd_robocze" localSheetId="5">#REF!</definedName>
    <definedName name="_8._wyd_robocze" localSheetId="1">#REF!</definedName>
    <definedName name="_8._wyd_robocze" localSheetId="10">#REF!</definedName>
    <definedName name="_8._wyd_robocze" localSheetId="0">#REF!</definedName>
    <definedName name="_8._wyd_robocze" localSheetId="7">#REF!</definedName>
    <definedName name="_8._wyd_robocze" localSheetId="6">#REF!</definedName>
    <definedName name="_8._wyd_robocze" localSheetId="8">#REF!</definedName>
    <definedName name="_8._wyd_robocze" localSheetId="3">#REF!</definedName>
    <definedName name="_8._wyd_robocze">#REF!</definedName>
    <definedName name="_9._zad_zlec_" localSheetId="9">#REF!</definedName>
    <definedName name="_9._zad_zlec_" localSheetId="4">#REF!</definedName>
    <definedName name="_9._zad_zlec_" localSheetId="5">#REF!</definedName>
    <definedName name="_9._zad_zlec_" localSheetId="1">#REF!</definedName>
    <definedName name="_9._zad_zlec_" localSheetId="10">#REF!</definedName>
    <definedName name="_9._zad_zlec_" localSheetId="7">#REF!</definedName>
    <definedName name="_9._zad_zlec_" localSheetId="6">#REF!</definedName>
    <definedName name="_9._zad_zlec_" localSheetId="8">#REF!</definedName>
    <definedName name="_9._zad_zlec_" localSheetId="3">#REF!</definedName>
    <definedName name="_9._zad_zlec_">#REF!</definedName>
    <definedName name="_Fund_Ochr_Środow" localSheetId="9">#REF!</definedName>
    <definedName name="_Fund_Ochr_Środow" localSheetId="4">#REF!</definedName>
    <definedName name="_Fund_Ochr_Środow" localSheetId="5">#REF!</definedName>
    <definedName name="_Fund_Ochr_Środow" localSheetId="1">#REF!</definedName>
    <definedName name="_Fund_Ochr_Środow" localSheetId="10">#REF!</definedName>
    <definedName name="_Fund_Ochr_Środow" localSheetId="7">#REF!</definedName>
    <definedName name="_Fund_Ochr_Środow" localSheetId="6">#REF!</definedName>
    <definedName name="_Fund_Ochr_Środow" localSheetId="8">#REF!</definedName>
    <definedName name="_Fund_Ochr_Środow" localSheetId="3">#REF!</definedName>
    <definedName name="_Fund_Ochr_Środow">#REF!</definedName>
    <definedName name="_płace" localSheetId="9">#REF!</definedName>
    <definedName name="_płace" localSheetId="4">#REF!</definedName>
    <definedName name="_płace" localSheetId="5">#REF!</definedName>
    <definedName name="_płace" localSheetId="1">#REF!</definedName>
    <definedName name="_płace" localSheetId="10">#REF!</definedName>
    <definedName name="_płace" localSheetId="7">#REF!</definedName>
    <definedName name="_płace" localSheetId="6">#REF!</definedName>
    <definedName name="_płace" localSheetId="8">#REF!</definedName>
    <definedName name="_płace" localSheetId="3">#REF!</definedName>
    <definedName name="_płace">#REF!</definedName>
    <definedName name="_pod_leŚny" localSheetId="9">#REF!</definedName>
    <definedName name="_pod_leŚny" localSheetId="4">#REF!</definedName>
    <definedName name="_pod_leŚny" localSheetId="5">#REF!</definedName>
    <definedName name="_pod_leŚny" localSheetId="1">#REF!</definedName>
    <definedName name="_pod_leŚny" localSheetId="10">#REF!</definedName>
    <definedName name="_pod_leŚny" localSheetId="7">#REF!</definedName>
    <definedName name="_pod_leŚny" localSheetId="6">#REF!</definedName>
    <definedName name="_pod_leŚny" localSheetId="8">#REF!</definedName>
    <definedName name="_pod_leŚny" localSheetId="3">#REF!</definedName>
    <definedName name="_pod_leŚny">#REF!</definedName>
    <definedName name="_pod_od_nieruch" localSheetId="9">#REF!</definedName>
    <definedName name="_pod_od_nieruch" localSheetId="4">#REF!</definedName>
    <definedName name="_pod_od_nieruch" localSheetId="5">#REF!</definedName>
    <definedName name="_pod_od_nieruch" localSheetId="1">#REF!</definedName>
    <definedName name="_pod_od_nieruch" localSheetId="10">#REF!</definedName>
    <definedName name="_pod_od_nieruch" localSheetId="7">#REF!</definedName>
    <definedName name="_pod_od_nieruch" localSheetId="6">#REF!</definedName>
    <definedName name="_pod_od_nieruch" localSheetId="8">#REF!</definedName>
    <definedName name="_pod_od_nieruch" localSheetId="3">#REF!</definedName>
    <definedName name="_pod_od_nieruch">#REF!</definedName>
    <definedName name="_pod_rolny" localSheetId="9">#REF!</definedName>
    <definedName name="_pod_rolny" localSheetId="4">#REF!</definedName>
    <definedName name="_pod_rolny" localSheetId="5">#REF!</definedName>
    <definedName name="_pod_rolny" localSheetId="1">#REF!</definedName>
    <definedName name="_pod_rolny" localSheetId="10">#REF!</definedName>
    <definedName name="_pod_rolny" localSheetId="7">#REF!</definedName>
    <definedName name="_pod_rolny" localSheetId="6">#REF!</definedName>
    <definedName name="_pod_rolny" localSheetId="8">#REF!</definedName>
    <definedName name="_pod_rolny" localSheetId="3">#REF!</definedName>
    <definedName name="_pod_rolny">#REF!</definedName>
    <definedName name="_pod_transp" localSheetId="9">#REF!</definedName>
    <definedName name="_pod_transp" localSheetId="4">#REF!</definedName>
    <definedName name="_pod_transp" localSheetId="5">#REF!</definedName>
    <definedName name="_pod_transp" localSheetId="1">#REF!</definedName>
    <definedName name="_pod_transp" localSheetId="10">#REF!</definedName>
    <definedName name="_pod_transp" localSheetId="7">#REF!</definedName>
    <definedName name="_pod_transp" localSheetId="6">#REF!</definedName>
    <definedName name="_pod_transp" localSheetId="8">#REF!</definedName>
    <definedName name="_pod_transp" localSheetId="3">#REF!</definedName>
    <definedName name="_pod_transp">#REF!</definedName>
    <definedName name="_przedszkola_zał" localSheetId="9">#REF!</definedName>
    <definedName name="_przedszkola_zał" localSheetId="4">#REF!</definedName>
    <definedName name="_przedszkola_zał" localSheetId="5">#REF!</definedName>
    <definedName name="_przedszkola_zał" localSheetId="1">#REF!</definedName>
    <definedName name="_przedszkola_zał" localSheetId="10">#REF!</definedName>
    <definedName name="_przedszkola_zał" localSheetId="7">#REF!</definedName>
    <definedName name="_przedszkola_zał" localSheetId="6">#REF!</definedName>
    <definedName name="_przedszkola_zał" localSheetId="8">#REF!</definedName>
    <definedName name="_przedszkola_zał" localSheetId="3">#REF!</definedName>
    <definedName name="_przedszkola_zał">#REF!</definedName>
    <definedName name="_soł_robocz" localSheetId="9">#REF!</definedName>
    <definedName name="_soł_robocz" localSheetId="4">#REF!</definedName>
    <definedName name="_soł_robocz" localSheetId="5">#REF!</definedName>
    <definedName name="_soł_robocz" localSheetId="1">#REF!</definedName>
    <definedName name="_soł_robocz" localSheetId="10">#REF!</definedName>
    <definedName name="_soł_robocz" localSheetId="7">#REF!</definedName>
    <definedName name="_soł_robocz" localSheetId="6">#REF!</definedName>
    <definedName name="_soł_robocz" localSheetId="8">#REF!</definedName>
    <definedName name="_soł_robocz" localSheetId="3">#REF!</definedName>
    <definedName name="_soł_robocz">#REF!</definedName>
    <definedName name="_sołectwa" localSheetId="9">#REF!</definedName>
    <definedName name="_sołectwa" localSheetId="4">#REF!</definedName>
    <definedName name="_sołectwa" localSheetId="5">#REF!</definedName>
    <definedName name="_sołectwa" localSheetId="1">#REF!</definedName>
    <definedName name="_sołectwa" localSheetId="10">#REF!</definedName>
    <definedName name="_sołectwa" localSheetId="7">#REF!</definedName>
    <definedName name="_sołectwa" localSheetId="6">#REF!</definedName>
    <definedName name="_sołectwa" localSheetId="8">#REF!</definedName>
    <definedName name="_sołectwa" localSheetId="3">#REF!</definedName>
    <definedName name="_sołectwa">#REF!</definedName>
    <definedName name="_szkoły_zał" localSheetId="9">#REF!</definedName>
    <definedName name="_szkoły_zał" localSheetId="4">#REF!</definedName>
    <definedName name="_szkoły_zał" localSheetId="5">#REF!</definedName>
    <definedName name="_szkoły_zał" localSheetId="1">#REF!</definedName>
    <definedName name="_szkoły_zał" localSheetId="10">#REF!</definedName>
    <definedName name="_szkoły_zał" localSheetId="0">#REF!</definedName>
    <definedName name="_szkoły_zał" localSheetId="7">#REF!</definedName>
    <definedName name="_szkoły_zał" localSheetId="6">#REF!</definedName>
    <definedName name="_szkoły_zał" localSheetId="8">#REF!</definedName>
    <definedName name="_szkoły_zał" localSheetId="3">#REF!</definedName>
    <definedName name="_szkoły_zał">#REF!</definedName>
    <definedName name="_środek_specjalny" localSheetId="9">#REF!</definedName>
    <definedName name="_środek_specjalny" localSheetId="4">#REF!</definedName>
    <definedName name="_środek_specjalny" localSheetId="5">#REF!</definedName>
    <definedName name="_środek_specjalny" localSheetId="1">#REF!</definedName>
    <definedName name="_środek_specjalny" localSheetId="10">#REF!</definedName>
    <definedName name="_środek_specjalny" localSheetId="7">#REF!</definedName>
    <definedName name="_środek_specjalny" localSheetId="6">#REF!</definedName>
    <definedName name="_środek_specjalny" localSheetId="8">#REF!</definedName>
    <definedName name="_środek_specjalny" localSheetId="3">#REF!</definedName>
    <definedName name="_środek_specjalny">#REF!</definedName>
    <definedName name="bis" localSheetId="9">#REF!</definedName>
    <definedName name="bis" localSheetId="4">#REF!</definedName>
    <definedName name="bis" localSheetId="5">#REF!</definedName>
    <definedName name="bis" localSheetId="1">#REF!</definedName>
    <definedName name="bis" localSheetId="10">#REF!</definedName>
    <definedName name="bis" localSheetId="7">#REF!</definedName>
    <definedName name="bis" localSheetId="6">#REF!</definedName>
    <definedName name="bis" localSheetId="8">#REF!</definedName>
    <definedName name="bis" localSheetId="3">#REF!</definedName>
    <definedName name="bis">#REF!</definedName>
    <definedName name="inwest" localSheetId="9">#REF!</definedName>
    <definedName name="inwest" localSheetId="4">#REF!</definedName>
    <definedName name="inwest" localSheetId="5">#REF!</definedName>
    <definedName name="inwest" localSheetId="1">#REF!</definedName>
    <definedName name="inwest" localSheetId="10">#REF!</definedName>
    <definedName name="inwest" localSheetId="7">#REF!</definedName>
    <definedName name="inwest" localSheetId="6">#REF!</definedName>
    <definedName name="inwest" localSheetId="8">#REF!</definedName>
    <definedName name="inwest" localSheetId="3">#REF!</definedName>
    <definedName name="inwest">#REF!</definedName>
    <definedName name="inwestopis" localSheetId="9">#REF!</definedName>
    <definedName name="inwestopis" localSheetId="4">#REF!</definedName>
    <definedName name="inwestopis" localSheetId="5">#REF!</definedName>
    <definedName name="inwestopis" localSheetId="1">#REF!</definedName>
    <definedName name="inwestopis" localSheetId="10">#REF!</definedName>
    <definedName name="inwestopis" localSheetId="7">#REF!</definedName>
    <definedName name="inwestopis" localSheetId="6">#REF!</definedName>
    <definedName name="inwestopis" localSheetId="8">#REF!</definedName>
    <definedName name="inwestopis" localSheetId="3">#REF!</definedName>
    <definedName name="inwestopis">#REF!</definedName>
    <definedName name="_xlnm.Print_Area" localSheetId="9">'02.11'!$A$1:$G$162</definedName>
    <definedName name="_xlnm.Print_Area" localSheetId="4">'12.09'!$A$1:$G$161</definedName>
    <definedName name="_xlnm.Print_Area" localSheetId="5">'20.09'!$A$1:$G$161</definedName>
    <definedName name="_xlnm.Print_Area" localSheetId="1">'23.08'!$A$1:$G$160</definedName>
    <definedName name="_xlnm.Print_Area" localSheetId="10">'23.11'!$A$1:$G$163</definedName>
    <definedName name="_xlnm.Print_Area" localSheetId="2">'25.08'!$A$1:$G$161</definedName>
    <definedName name="_xlnm.Print_Area" localSheetId="0">'26.07'!$A$1:$G$159</definedName>
    <definedName name="_xlnm.Print_Area" localSheetId="7">'27.10'!$A$1:$G$162</definedName>
    <definedName name="_xlnm.Print_Area" localSheetId="6">'29.09'!$A$1:$G$161</definedName>
    <definedName name="_xlnm.Print_Area" localSheetId="8">'30.10'!$A$1:$G$162</definedName>
    <definedName name="_xlnm.Print_Area" localSheetId="3">'31.08'!$A$1:$G$161</definedName>
    <definedName name="oświata" localSheetId="9">#REF!</definedName>
    <definedName name="oświata" localSheetId="4">#REF!</definedName>
    <definedName name="oświata" localSheetId="5">#REF!</definedName>
    <definedName name="oświata" localSheetId="1">#REF!</definedName>
    <definedName name="oświata" localSheetId="10">#REF!</definedName>
    <definedName name="oświata" localSheetId="0">#REF!</definedName>
    <definedName name="oświata" localSheetId="7">#REF!</definedName>
    <definedName name="oświata" localSheetId="6">#REF!</definedName>
    <definedName name="oświata" localSheetId="8">#REF!</definedName>
    <definedName name="oświata" localSheetId="3">#REF!</definedName>
    <definedName name="oświata">#REF!</definedName>
    <definedName name="oświatawychowanie" localSheetId="9">#REF!</definedName>
    <definedName name="oświatawychowanie" localSheetId="4">#REF!</definedName>
    <definedName name="oświatawychowanie" localSheetId="5">#REF!</definedName>
    <definedName name="oświatawychowanie" localSheetId="1">#REF!</definedName>
    <definedName name="oświatawychowanie" localSheetId="10">#REF!</definedName>
    <definedName name="oświatawychowanie" localSheetId="7">#REF!</definedName>
    <definedName name="oświatawychowanie" localSheetId="6">#REF!</definedName>
    <definedName name="oświatawychowanie" localSheetId="8">#REF!</definedName>
    <definedName name="oświatawychowanie" localSheetId="3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<sst xmlns="http://schemas.openxmlformats.org/spreadsheetml/2006/main" count="2811" uniqueCount="220">
  <si>
    <t>na rok 2007</t>
  </si>
  <si>
    <t xml:space="preserve">Budowa sieci wodociągowej w Radomicku </t>
  </si>
  <si>
    <t>Budowa sieci wodociągowej w Smyczynie (projekt)</t>
  </si>
  <si>
    <t xml:space="preserve"> rozdz.60014 -drogi publiczne powiatowe</t>
  </si>
  <si>
    <t xml:space="preserve">  rozdz.75023 - Urzędy gmin</t>
  </si>
  <si>
    <t>plan na rok 2010</t>
  </si>
  <si>
    <t xml:space="preserve">Klasyfikacja budżetowa </t>
  </si>
  <si>
    <t>Nazwa zadania inwestycyjnego</t>
  </si>
  <si>
    <t>Finansowanie inwestycji</t>
  </si>
  <si>
    <t>Dział - 900 Gospodarka komunalna  i ochrona środowiska</t>
  </si>
  <si>
    <t>Dział O10-Rolnictwo i łowiectwo</t>
  </si>
  <si>
    <t xml:space="preserve"> Dział 600 - transport i łączność</t>
  </si>
  <si>
    <t>Dział 801-oświata i wychowanie</t>
  </si>
  <si>
    <t>środki własne</t>
  </si>
  <si>
    <t>Środki</t>
  </si>
  <si>
    <t>własne</t>
  </si>
  <si>
    <t>Kazimierz Kubicki</t>
  </si>
  <si>
    <t>Ogółem  wartość wydatków majątkowych</t>
  </si>
  <si>
    <t>Plan</t>
  </si>
  <si>
    <t>źródła finansowania</t>
  </si>
  <si>
    <t>kredyty lub pożyczki</t>
  </si>
  <si>
    <t>Dział 921-kultura i ochrona dziedzictwa narodowego</t>
  </si>
  <si>
    <t>rozdz. 92109 - Domy i ośrodki kultury, świetlice i kluby</t>
  </si>
  <si>
    <t>Dział 926-kultura fizyczna i sport</t>
  </si>
  <si>
    <t>rozdz. 92601 - Obiekty sportowe</t>
  </si>
  <si>
    <t xml:space="preserve">Plan wydatków majątkowych Gminy Lipno </t>
  </si>
  <si>
    <t xml:space="preserve"> rozdz.80101- Szkoły Podstawowe</t>
  </si>
  <si>
    <t xml:space="preserve"> rozdz.80104- Przedszkole</t>
  </si>
  <si>
    <t>Budowa placu zabaw w Górce Duchownej</t>
  </si>
  <si>
    <t xml:space="preserve">  rozdz.60014 - Drogi publiczne powiatowe</t>
  </si>
  <si>
    <t xml:space="preserve">                            chodnika w Żakowie</t>
  </si>
  <si>
    <t>chodnika w Wilkowicach</t>
  </si>
  <si>
    <t>chodnika w Lipnie</t>
  </si>
  <si>
    <t>chodnika w Targowisku</t>
  </si>
  <si>
    <t>Dotacja na realizację programu "Poprawy bezpieczeństwa na drogach" realizowanego przez Powiat na budowę:</t>
  </si>
  <si>
    <t>rozdz. 90015 - oświetlenie ulic, placów i dróg</t>
  </si>
  <si>
    <t>Dział 750- Administracja publiczna</t>
  </si>
  <si>
    <t>plan na rok 2012</t>
  </si>
  <si>
    <t xml:space="preserve">Zakup rębaka </t>
  </si>
  <si>
    <t>kontrolka</t>
  </si>
  <si>
    <t>rozdz. 90013 - schroniska dla zwierząt</t>
  </si>
  <si>
    <t>Dotacja dla Miasta Leszno na dofinansowanie inwestycji "Budowa międzygminnego schroniska dla bezdomnych zwierząt"</t>
  </si>
  <si>
    <t>rozdz.01010-Infrastruktura wodociągowa i sanitacyjna wsi</t>
  </si>
  <si>
    <t xml:space="preserve">rozdz.01095- Pozostała działalność  </t>
  </si>
  <si>
    <t xml:space="preserve"> rozdz.60016 -drogi publiczne gminne         </t>
  </si>
  <si>
    <t>Budowa sieci wodociągowej w Klonówcu</t>
  </si>
  <si>
    <t>Budowa kanalizacji sanitarnej w Mórkowie etap III</t>
  </si>
  <si>
    <t>plan na rok 2014</t>
  </si>
  <si>
    <t xml:space="preserve">rozdz.75411 - Komendy powiatowe Państwowej Straży Pożarnej </t>
  </si>
  <si>
    <t>Wpłata na państwowy fundusz celowy na dofinansowanie zadań inwestycyjnych Miejskiej Państwowej Straży Pożarnej w Lesznie</t>
  </si>
  <si>
    <t>Budowa sieci kanalizacji sanitarnej przy ul. Dworcowej w Wilkowicach</t>
  </si>
  <si>
    <t>Rozbudowa kompleksu sportowo-rekreacyjnego w Goniembicach etap II</t>
  </si>
  <si>
    <t>Świetlica wiejska i jej otoczenie wizytówką Ratowic</t>
  </si>
  <si>
    <t>pożyczka z WFOŚiGW</t>
  </si>
  <si>
    <t>środki własne (zł)</t>
  </si>
  <si>
    <t>kredyty lub pożyczki (zł)</t>
  </si>
  <si>
    <t>pożyczka z BGK na wyprzedzające fin.</t>
  </si>
  <si>
    <t>Modernizacja sieci wodociągowych, kanalizacyjnych i przyłączy na terenie Gminy Lipno</t>
  </si>
  <si>
    <t>Zagospodarowanie terenu sportowo-rekreacyjnego w Radomicku</t>
  </si>
  <si>
    <t>rozdz. 92120 - Ochrona zabytków i opieka nad zabytkami</t>
  </si>
  <si>
    <t>Dział - 758 Różne rozliczenia</t>
  </si>
  <si>
    <t>rozdz.75818 -Rezerwy ogólne i celowe</t>
  </si>
  <si>
    <t>Rezerwy na inwestycje i zakupy inwestycyjne (m.in.inicjatywy lokalne i wkład własny w konkursach)</t>
  </si>
  <si>
    <t>Dział - 851 Ochrona zdrowia</t>
  </si>
  <si>
    <t>rozdz. 85195 - Pozostała działalność</t>
  </si>
  <si>
    <t>rozdz.75412 - Ochotnicze Straże Pożarne</t>
  </si>
  <si>
    <t>Dział 754- Bezpieczeństwo publiczne i ochrona przeciwpożarowa</t>
  </si>
  <si>
    <t>Zagospodarowanie boiska do piłki nożnej w Gronówku - piłkochwyt</t>
  </si>
  <si>
    <t>Budowa chodnika w Klonówcu</t>
  </si>
  <si>
    <t>F.S.10000</t>
  </si>
  <si>
    <t>F.S.8500</t>
  </si>
  <si>
    <t>Rozbudowa infrastruktury szlaku rowerowego w Wilkowicach o siłownię zewnetrzną</t>
  </si>
  <si>
    <t>F.S.18000</t>
  </si>
  <si>
    <t>Budowa kompleksu sportowo-rekreacyjnego w Żakowie</t>
  </si>
  <si>
    <t xml:space="preserve">Budowa sieci wodociągowej Os. Wierzbowe, Mórkowo </t>
  </si>
  <si>
    <t>Budowa sieci wodociągowej Os. Nowe Mórkowo</t>
  </si>
  <si>
    <t>Budowa sieci wodociągowej ul. Rolna Wilkowice</t>
  </si>
  <si>
    <t>Budowa sieci wodociągowej ul. Szkolna, Wilkowice</t>
  </si>
  <si>
    <t>Budowa sieci wodociągowej  ul. Okrężna Wilkowice</t>
  </si>
  <si>
    <t>Budowa sieci wodociągowej ul. Święciechowska Wilkowice</t>
  </si>
  <si>
    <t>Budowa sieci wodociągowej ul. Usługowa, Wilkowice</t>
  </si>
  <si>
    <t>Budowa przecisku - sieć wodociągowa w Smyczynie</t>
  </si>
  <si>
    <t>Budowa sieci wodociągowej  ul. Kręta, Wilkowice (projekt)</t>
  </si>
  <si>
    <t>Modernizacja kanalizacji deszczowej na ul. Królowej Jadwigi w Lipnie</t>
  </si>
  <si>
    <t xml:space="preserve">Budowa kanalizacji deszczowej na ul. Wiosennej w Lipnie </t>
  </si>
  <si>
    <t>Ułożenie krawężnika drogowego i obrzeży przy swietlicy wiejskiej w Wyciążkowie</t>
  </si>
  <si>
    <t>Budowa instalacji c.o. w świetlicy w Wyciążkowie (dokumentacja)</t>
  </si>
  <si>
    <t>Adaptacja pomieszczeń na filię oddziału lekarskiego w Wilkowicach</t>
  </si>
  <si>
    <t>Wymiana energochłonnego oświetlenia w świetlicach i salach</t>
  </si>
  <si>
    <t>rozdz. 90004 - utrzymanie zieleni</t>
  </si>
  <si>
    <t>Oświetlenie uliczne Wilkowice dla ulic prostopadłych do ul. Bocznej (dokumntacja)</t>
  </si>
  <si>
    <t>Rewitalizacja Parku w Lipnie (dokumentacja)</t>
  </si>
  <si>
    <t>Wymiana energochłonnego oświetlenia w obiektach publicznych</t>
  </si>
  <si>
    <t>Budowa świetlicy wiejskiej w Koronowie (dokumentacja)</t>
  </si>
  <si>
    <t>Budowa boisk sportowych (dokumentacja)</t>
  </si>
  <si>
    <t>Zagospodarowanie terenu kompleksu sportowo-rekreacyjnego na osiedlu przy ul. Leszczyńskiej w Lipnie</t>
  </si>
  <si>
    <t>plan na rok 2016 (zł)</t>
  </si>
  <si>
    <t>Budowa świetlicy wiejskiej w Gronówku (dokumentacja)</t>
  </si>
  <si>
    <t xml:space="preserve">Rozudowa kanalizacji sanitarnej  w Mórkowie </t>
  </si>
  <si>
    <t xml:space="preserve"> rozdz.80110- Gimnazjum</t>
  </si>
  <si>
    <t>Modernizacja sali gimnastycznej w Gimnazjum w Lipnie</t>
  </si>
  <si>
    <t>Termomodernizacja budynku Szkoły Podstawowej im. Wojska Polskiego w Lipnie</t>
  </si>
  <si>
    <t>Dziś na boisku sportowym jutro na stadionie narodowym - budowa kompleksu sportowo- rekreacyjnego w Wyciążkowie etap I</t>
  </si>
  <si>
    <t>Zagospodarowanie terenu rekreacyjnego "boisko sportowe" w Mórkowie</t>
  </si>
  <si>
    <t>Budowa sieci wodociągowej w Radomicku dz.189</t>
  </si>
  <si>
    <t>Modernizacja drogi gminnej w Mórkowie</t>
  </si>
  <si>
    <t xml:space="preserve">  rozdz.75095 - Pozostała działalność</t>
  </si>
  <si>
    <t>Dział 851-Ochrona zdrowia</t>
  </si>
  <si>
    <t xml:space="preserve"> rozdz.85195- Pozostała działalność</t>
  </si>
  <si>
    <t>D</t>
  </si>
  <si>
    <t>Modernizacja oddziału przedszkolnego w Goniembicach</t>
  </si>
  <si>
    <t>Docieplenie budynku Przedszkola w Lipnie oraz wykonanie systemu oddymiania w budynku</t>
  </si>
  <si>
    <t>Termomodernizacja budynków Szkół Podstawowych w Wilkowicach,  Goniembicach i Lipnie</t>
  </si>
  <si>
    <t>Zabudowa w meble kuchni świetlicy wiejskiej w Radomicku</t>
  </si>
  <si>
    <t>Pomoc finansowa dla Powiatu leszczyńskiego na zadanie inwestycyjne "Przebudowa drogi powiatowej nr 4771P w Wilkowicach"</t>
  </si>
  <si>
    <t>Zakup wiat autobusowych w Lipnie ul. Leszczyńska, Radomicku i Klonówcu</t>
  </si>
  <si>
    <t>Budowa oświetlenia ulicznego w Lipno ul. Spółdzielcza / I etap/</t>
  </si>
  <si>
    <t>Budowa oświetlenia ulicznego w Goniembicach</t>
  </si>
  <si>
    <t>Oświetlenie Os. Gronowe w Gronówku (dokumentacja)</t>
  </si>
  <si>
    <t>Oświetlenie w Targowisku (dokumentacja)</t>
  </si>
  <si>
    <t>Oświetlenie uliczne Wyciążkowo</t>
  </si>
  <si>
    <t>Oświetlenie uliczne Wilkowice ul. Pszenna (dokumentacja)</t>
  </si>
  <si>
    <t>Zakup traktora do koszenia trawy przy Szkole Podstawowej w Wilkowicach</t>
  </si>
  <si>
    <t>Zakup samochodu dostawczego dla pracowników gospodarczych</t>
  </si>
  <si>
    <t>Agregat prądotwórczy do prac w terenie pracowników gopsodarczych</t>
  </si>
  <si>
    <t>Zakup udziałów w Samorządowym Funduszu Poręczeń Kredytowych</t>
  </si>
  <si>
    <t xml:space="preserve">Budowa kanalizacji deszczowej ul. Wiosenna w Lipnie </t>
  </si>
  <si>
    <t>Modernizacja przyłączy wodociągowych na ul. Święciechowskiej i  Dworcowej w Wilkowicach</t>
  </si>
  <si>
    <t xml:space="preserve">Wykup sieci wodociągowych </t>
  </si>
  <si>
    <t>Budowa chodnika ul. Szkolna Wilkowice</t>
  </si>
  <si>
    <t xml:space="preserve">Budowa chodnika w Goniembicach </t>
  </si>
  <si>
    <t>FS5</t>
  </si>
  <si>
    <t>Budowa chodnika w Górce Duchownej</t>
  </si>
  <si>
    <t>F.S.20</t>
  </si>
  <si>
    <t>F.S. 7</t>
  </si>
  <si>
    <t>D13FS20</t>
  </si>
  <si>
    <t>Utwardzenie ul. Nowej w Lipnie</t>
  </si>
  <si>
    <t>Dział - 700 Gospodarka mieszkaniowa</t>
  </si>
  <si>
    <t>rozdz.70005 -Gospodarka gruntami i nieruchomościami</t>
  </si>
  <si>
    <t>Modernizacja dachu na budynku komunalnym w Radomicku (dokumentacja)</t>
  </si>
  <si>
    <t>Budowa pomieszczenia sanitarnego (łazienki) w budynku komunalnym w Mórkowie</t>
  </si>
  <si>
    <t>Modernizacja oświetlenia ulicznego</t>
  </si>
  <si>
    <t>Przebudowa świetlicy wiejskiej w Ratowicach</t>
  </si>
  <si>
    <t>F.S. 10</t>
  </si>
  <si>
    <t xml:space="preserve">Oświetlenie uliczne Klonówiec </t>
  </si>
  <si>
    <t>FS4</t>
  </si>
  <si>
    <t>Zagospodarowanie przestrzeni publicznej w Klonówcu</t>
  </si>
  <si>
    <t>Zagospodarowanie terenu sportowo-rekreacyjnego w Koronowie</t>
  </si>
  <si>
    <t>F.S.9</t>
  </si>
  <si>
    <t>Modernizacja chodnika ul. Okrężnaj i Jackowskiego w Lipnie</t>
  </si>
  <si>
    <t>D15F5</t>
  </si>
  <si>
    <t>F.S.14</t>
  </si>
  <si>
    <t>FS12</t>
  </si>
  <si>
    <t>Plac zabaw w Sulejewie</t>
  </si>
  <si>
    <t>F.S.4,5</t>
  </si>
  <si>
    <t>Modernizacja kuchni i piwnicy w Domu Strażaka w Wilkowicach - świetlica</t>
  </si>
  <si>
    <t>Projekt i rewitalizacja gródka stożkowego w Wilkowicach</t>
  </si>
  <si>
    <t>F.S.5</t>
  </si>
  <si>
    <t>Modernizacja i doposażenie świetlice w Wyciażkowie</t>
  </si>
  <si>
    <t>F.S.7,5</t>
  </si>
  <si>
    <t>FS1,5</t>
  </si>
  <si>
    <t>F.S.6000</t>
  </si>
  <si>
    <t xml:space="preserve">Adaptacja pomieszczeń na punkt Odziału Lekarskiego w Wilkowiach </t>
  </si>
  <si>
    <t>Budowa sieci wodociągowej ul. Świerkowa, Wilkowice</t>
  </si>
  <si>
    <t>Budowa sieci wodociągowej ul. Zachodnia, Wilkowice</t>
  </si>
  <si>
    <t>plan na rok 2017</t>
  </si>
  <si>
    <t>plan na rok 2017 (zł)</t>
  </si>
  <si>
    <t>na rok 2017</t>
  </si>
  <si>
    <t>Sygnalizacja świetlna na przejściach dla pieszych i przejazdach dla rowerów w Wilkowicach (dokumentacja)</t>
  </si>
  <si>
    <t>Zakup samochodu służbowego - zaopatrzenie</t>
  </si>
  <si>
    <t>Przebudowa drogi gminnej - ul. Boczna w Wilkowicach etap II</t>
  </si>
  <si>
    <t>Utwardzenie ul. Poprzecznej w Lipnie etap II</t>
  </si>
  <si>
    <t>Utwardzenie placu za Urzędem Gminy na potrzeby parkingu i miejsca imprez plenerowych</t>
  </si>
  <si>
    <t>Budowa remizy strażackiej w Lipnie</t>
  </si>
  <si>
    <t>Modernizacja budynku przedszkola w Górce Duchownej etap II</t>
  </si>
  <si>
    <t>Budowa sieci wodociągowej w Smyczynie (działka nr 391/27)</t>
  </si>
  <si>
    <t>Budowa sieci wodociągowej i kanalizacyjnej w Wilkowicach (działka nr 182/12)</t>
  </si>
  <si>
    <t>Utwardzenie ul. Nowej, Krańcowej, Poprzecznej, Krótkiej, Kwiatowej, Słonecznej i Wiosennej w Lipnie</t>
  </si>
  <si>
    <t>rozdz. 80195 - Projekt unijny</t>
  </si>
  <si>
    <t>Zakup wyposażenia w ramach programu Nowa szansa dla uczniów z gminy Lipno</t>
  </si>
  <si>
    <t>Zakup zagęszczarki</t>
  </si>
  <si>
    <t>Zakup kos spalinowych</t>
  </si>
  <si>
    <t>Budowa drogi ul. Szkolnej w Wilkowicach</t>
  </si>
  <si>
    <t>Załącznik nr 5 do uchwały Rady Gminy</t>
  </si>
  <si>
    <t>Budowa sieci połączeń dróg dla rowerów w gminie Osieczna, Lipno i Rydzyna w ramach zadania ograniczenie niskiej emisji na terenie Aglomeracji Leszczyńskiej</t>
  </si>
  <si>
    <t>Lipno nrXLIV/270/2017 z dna 26.07.2017r.</t>
  </si>
  <si>
    <t>środki zewnętrzne (zł)</t>
  </si>
  <si>
    <t>dotacja</t>
  </si>
  <si>
    <t xml:space="preserve">z tego </t>
  </si>
  <si>
    <t>kredyt</t>
  </si>
  <si>
    <t>`</t>
  </si>
  <si>
    <t>Budowa sieci wodociągowej w Goniembicach</t>
  </si>
  <si>
    <t>Załącznik nr 3 do uchwały Rady Gminy</t>
  </si>
  <si>
    <t>Lipno nr XLVI/278/2017 z dna 23.08.2017r.</t>
  </si>
  <si>
    <t>Załącznik nr 3 do Zarządzenia Wójta Gminy</t>
  </si>
  <si>
    <t>Lipno nr F-16/2017 z dnia 25.08.2017 r.</t>
  </si>
  <si>
    <t>Lipno nr F-17/2017 z dnia 31.08.2017 r.</t>
  </si>
  <si>
    <t>Załącznik nr 1 do Zarządzenia Wójta Gminy</t>
  </si>
  <si>
    <t>Załącznik nr 2 do Zarządzenia Wójta Gminy</t>
  </si>
  <si>
    <t>Lipno nr F-187b/2017 z dnia 12.09.2017 r.</t>
  </si>
  <si>
    <t>Modernizacja świetlicy - wymiana podłogi w Smyczynie</t>
  </si>
  <si>
    <t>Lipno nr XLVIII/285/2017 z dnia 20.09.2017 r.</t>
  </si>
  <si>
    <t>Załącznik nr 4 do  Uchwały Rady Gminy</t>
  </si>
  <si>
    <t>Załącznik nr 2 do  Zarządzenia Wójta Gminy</t>
  </si>
  <si>
    <t>Lipno nr F-19a/2017 z dnia 28.09.2017 r.</t>
  </si>
  <si>
    <t>F.S.1000</t>
  </si>
  <si>
    <t>Budowa siłowni zewnętrznej na placu zabaw w Targowisku - dokumentacja</t>
  </si>
  <si>
    <t>Zagospodarowanie terenu wokół świetlicy w Radomicku - wymiana kanalizacji sanitarnej</t>
  </si>
  <si>
    <t>FS 11000</t>
  </si>
  <si>
    <t>Załącznik nr 5 do Uchwały Rady Gminy</t>
  </si>
  <si>
    <t xml:space="preserve"> Lipno nr XLIX/292/2017 z dnia 27.10.2017 r.</t>
  </si>
  <si>
    <t>Załącznik nr 5 do Zarządzenia Wójta Gminy</t>
  </si>
  <si>
    <t xml:space="preserve"> Lipno nr F-20/2017 z dnia 30.10.2017 r.</t>
  </si>
  <si>
    <t xml:space="preserve"> Lipno nr F-21a/2017 z dnia 02.11.2017 r.</t>
  </si>
  <si>
    <t>FS 11000-11000</t>
  </si>
  <si>
    <t>Cz.D 3700</t>
  </si>
  <si>
    <t>Zakup pilarki ratowniczej dla OSP w Lipnie</t>
  </si>
  <si>
    <t>Lipno nr L/…/2017 z dnia 23.11.2017 r.</t>
  </si>
  <si>
    <t>Załącznik nr 3 do Uchwały Rady Gminy</t>
  </si>
  <si>
    <t>F.S.6000+5601,14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</si>
</sst>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i/>
      <sz val="9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name val="Arial CE"/>
      <family val="2"/>
    </font>
    <font>
      <sz val="12"/>
      <color indexed="8"/>
      <name val="Arial"/>
      <family val="2"/>
    </font>
    <font>
      <sz val="12"/>
      <color indexed="8"/>
      <name val="Czcionka tekstu podstawowego"/>
      <family val="2"/>
    </font>
    <font>
      <i/>
      <sz val="12"/>
      <name val="Arial CE"/>
      <family val="0"/>
    </font>
    <font>
      <sz val="12"/>
      <name val="Arial"/>
      <family val="2"/>
    </font>
    <font>
      <sz val="12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7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7"/>
      <color rgb="FFFF0000"/>
      <name val="Arial CE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double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wrapText="1"/>
    </xf>
    <xf numFmtId="3" fontId="8" fillId="33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8" fillId="33" borderId="16" xfId="0" applyNumberFormat="1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4" fontId="8" fillId="33" borderId="19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top" wrapText="1"/>
    </xf>
    <xf numFmtId="3" fontId="8" fillId="33" borderId="22" xfId="0" applyNumberFormat="1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8" fillId="33" borderId="12" xfId="0" applyNumberFormat="1" applyFont="1" applyFill="1" applyBorder="1" applyAlignment="1" applyProtection="1">
      <alignment vertical="center" wrapText="1"/>
      <protection/>
    </xf>
    <xf numFmtId="0" fontId="15" fillId="33" borderId="16" xfId="0" applyFont="1" applyFill="1" applyBorder="1" applyAlignment="1">
      <alignment wrapText="1"/>
    </xf>
    <xf numFmtId="3" fontId="8" fillId="33" borderId="2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8" fillId="33" borderId="25" xfId="0" applyNumberFormat="1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8" fillId="33" borderId="27" xfId="0" applyNumberFormat="1" applyFont="1" applyFill="1" applyBorder="1" applyAlignment="1" applyProtection="1">
      <alignment wrapText="1"/>
      <protection/>
    </xf>
    <xf numFmtId="3" fontId="8" fillId="33" borderId="27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8" fillId="33" borderId="12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8" fillId="33" borderId="37" xfId="0" applyFont="1" applyFill="1" applyBorder="1" applyAlignment="1">
      <alignment wrapText="1"/>
    </xf>
    <xf numFmtId="0" fontId="8" fillId="33" borderId="38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40" xfId="0" applyFont="1" applyFill="1" applyBorder="1" applyAlignment="1">
      <alignment wrapText="1"/>
    </xf>
    <xf numFmtId="4" fontId="8" fillId="33" borderId="40" xfId="0" applyNumberFormat="1" applyFont="1" applyFill="1" applyBorder="1" applyAlignment="1">
      <alignment/>
    </xf>
    <xf numFmtId="4" fontId="8" fillId="33" borderId="40" xfId="0" applyNumberFormat="1" applyFont="1" applyFill="1" applyBorder="1" applyAlignment="1">
      <alignment/>
    </xf>
    <xf numFmtId="3" fontId="8" fillId="33" borderId="35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3" fontId="4" fillId="33" borderId="41" xfId="0" applyNumberFormat="1" applyFont="1" applyFill="1" applyBorder="1" applyAlignment="1">
      <alignment/>
    </xf>
    <xf numFmtId="0" fontId="4" fillId="33" borderId="42" xfId="0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3" fontId="8" fillId="33" borderId="43" xfId="0" applyNumberFormat="1" applyFont="1" applyFill="1" applyBorder="1" applyAlignment="1">
      <alignment/>
    </xf>
    <xf numFmtId="3" fontId="8" fillId="33" borderId="44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3" fontId="8" fillId="33" borderId="37" xfId="0" applyNumberFormat="1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0" fontId="4" fillId="33" borderId="29" xfId="0" applyFont="1" applyFill="1" applyBorder="1" applyAlignment="1">
      <alignment horizontal="center"/>
    </xf>
    <xf numFmtId="3" fontId="8" fillId="33" borderId="45" xfId="0" applyNumberFormat="1" applyFont="1" applyFill="1" applyBorder="1" applyAlignment="1">
      <alignment/>
    </xf>
    <xf numFmtId="3" fontId="8" fillId="33" borderId="45" xfId="0" applyNumberFormat="1" applyFont="1" applyFill="1" applyBorder="1" applyAlignment="1">
      <alignment/>
    </xf>
    <xf numFmtId="3" fontId="8" fillId="33" borderId="46" xfId="0" applyNumberFormat="1" applyFont="1" applyFill="1" applyBorder="1" applyAlignment="1">
      <alignment/>
    </xf>
    <xf numFmtId="3" fontId="17" fillId="33" borderId="25" xfId="0" applyNumberFormat="1" applyFont="1" applyFill="1" applyBorder="1" applyAlignment="1">
      <alignment/>
    </xf>
    <xf numFmtId="3" fontId="17" fillId="33" borderId="26" xfId="0" applyNumberFormat="1" applyFont="1" applyFill="1" applyBorder="1" applyAlignment="1">
      <alignment/>
    </xf>
    <xf numFmtId="0" fontId="8" fillId="33" borderId="47" xfId="0" applyFont="1" applyFill="1" applyBorder="1" applyAlignment="1">
      <alignment horizontal="right" wrapText="1"/>
    </xf>
    <xf numFmtId="3" fontId="17" fillId="33" borderId="23" xfId="0" applyNumberFormat="1" applyFont="1" applyFill="1" applyBorder="1" applyAlignment="1">
      <alignment/>
    </xf>
    <xf numFmtId="3" fontId="17" fillId="33" borderId="24" xfId="0" applyNumberFormat="1" applyFont="1" applyFill="1" applyBorder="1" applyAlignment="1">
      <alignment/>
    </xf>
    <xf numFmtId="3" fontId="17" fillId="33" borderId="27" xfId="0" applyNumberFormat="1" applyFont="1" applyFill="1" applyBorder="1" applyAlignment="1">
      <alignment/>
    </xf>
    <xf numFmtId="3" fontId="17" fillId="33" borderId="47" xfId="0" applyNumberFormat="1" applyFont="1" applyFill="1" applyBorder="1" applyAlignment="1">
      <alignment/>
    </xf>
    <xf numFmtId="0" fontId="8" fillId="33" borderId="31" xfId="0" applyFont="1" applyFill="1" applyBorder="1" applyAlignment="1">
      <alignment horizontal="right" wrapText="1"/>
    </xf>
    <xf numFmtId="3" fontId="17" fillId="33" borderId="48" xfId="0" applyNumberFormat="1" applyFont="1" applyFill="1" applyBorder="1" applyAlignment="1">
      <alignment/>
    </xf>
    <xf numFmtId="3" fontId="17" fillId="33" borderId="49" xfId="0" applyNumberFormat="1" applyFont="1" applyFill="1" applyBorder="1" applyAlignment="1">
      <alignment/>
    </xf>
    <xf numFmtId="3" fontId="17" fillId="33" borderId="30" xfId="0" applyNumberFormat="1" applyFont="1" applyFill="1" applyBorder="1" applyAlignment="1">
      <alignment/>
    </xf>
    <xf numFmtId="3" fontId="17" fillId="33" borderId="31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right" wrapText="1"/>
    </xf>
    <xf numFmtId="3" fontId="8" fillId="33" borderId="50" xfId="0" applyNumberFormat="1" applyFont="1" applyFill="1" applyBorder="1" applyAlignment="1">
      <alignment/>
    </xf>
    <xf numFmtId="3" fontId="8" fillId="33" borderId="51" xfId="0" applyNumberFormat="1" applyFont="1" applyFill="1" applyBorder="1" applyAlignment="1">
      <alignment/>
    </xf>
    <xf numFmtId="3" fontId="8" fillId="33" borderId="40" xfId="0" applyNumberFormat="1" applyFont="1" applyFill="1" applyBorder="1" applyAlignment="1">
      <alignment/>
    </xf>
    <xf numFmtId="3" fontId="17" fillId="33" borderId="35" xfId="0" applyNumberFormat="1" applyFont="1" applyFill="1" applyBorder="1" applyAlignment="1">
      <alignment/>
    </xf>
    <xf numFmtId="0" fontId="8" fillId="33" borderId="3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/>
    </xf>
    <xf numFmtId="3" fontId="4" fillId="33" borderId="53" xfId="0" applyNumberFormat="1" applyFont="1" applyFill="1" applyBorder="1" applyAlignment="1">
      <alignment horizontal="right" wrapText="1"/>
    </xf>
    <xf numFmtId="3" fontId="4" fillId="33" borderId="39" xfId="0" applyNumberFormat="1" applyFont="1" applyFill="1" applyBorder="1" applyAlignment="1">
      <alignment horizontal="right" wrapText="1"/>
    </xf>
    <xf numFmtId="0" fontId="8" fillId="33" borderId="44" xfId="0" applyFont="1" applyFill="1" applyBorder="1" applyAlignment="1">
      <alignment vertical="top" wrapText="1"/>
    </xf>
    <xf numFmtId="3" fontId="17" fillId="33" borderId="54" xfId="0" applyNumberFormat="1" applyFont="1" applyFill="1" applyBorder="1" applyAlignment="1">
      <alignment/>
    </xf>
    <xf numFmtId="3" fontId="17" fillId="33" borderId="55" xfId="0" applyNumberFormat="1" applyFont="1" applyFill="1" applyBorder="1" applyAlignment="1">
      <alignment/>
    </xf>
    <xf numFmtId="3" fontId="17" fillId="33" borderId="56" xfId="0" applyNumberFormat="1" applyFont="1" applyFill="1" applyBorder="1" applyAlignment="1">
      <alignment/>
    </xf>
    <xf numFmtId="3" fontId="17" fillId="33" borderId="57" xfId="0" applyNumberFormat="1" applyFont="1" applyFill="1" applyBorder="1" applyAlignment="1">
      <alignment/>
    </xf>
    <xf numFmtId="3" fontId="17" fillId="33" borderId="37" xfId="0" applyNumberFormat="1" applyFont="1" applyFill="1" applyBorder="1" applyAlignment="1">
      <alignment/>
    </xf>
    <xf numFmtId="0" fontId="8" fillId="33" borderId="58" xfId="0" applyFont="1" applyFill="1" applyBorder="1" applyAlignment="1">
      <alignment wrapText="1"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8" fillId="33" borderId="39" xfId="0" applyFont="1" applyFill="1" applyBorder="1" applyAlignment="1">
      <alignment wrapText="1"/>
    </xf>
    <xf numFmtId="3" fontId="8" fillId="33" borderId="41" xfId="0" applyNumberFormat="1" applyFont="1" applyFill="1" applyBorder="1" applyAlignment="1">
      <alignment/>
    </xf>
    <xf numFmtId="3" fontId="8" fillId="33" borderId="6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0" fontId="8" fillId="33" borderId="31" xfId="0" applyFont="1" applyFill="1" applyBorder="1" applyAlignment="1">
      <alignment wrapText="1"/>
    </xf>
    <xf numFmtId="0" fontId="4" fillId="33" borderId="39" xfId="0" applyFont="1" applyFill="1" applyBorder="1" applyAlignment="1">
      <alignment wrapText="1"/>
    </xf>
    <xf numFmtId="3" fontId="4" fillId="33" borderId="41" xfId="0" applyNumberFormat="1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8" fillId="33" borderId="63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64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63" xfId="0" applyNumberFormat="1" applyFont="1" applyFill="1" applyBorder="1" applyAlignment="1">
      <alignment/>
    </xf>
    <xf numFmtId="0" fontId="8" fillId="33" borderId="58" xfId="0" applyFont="1" applyFill="1" applyBorder="1" applyAlignment="1">
      <alignment vertical="center" wrapText="1"/>
    </xf>
    <xf numFmtId="3" fontId="4" fillId="33" borderId="59" xfId="0" applyNumberFormat="1" applyFont="1" applyFill="1" applyBorder="1" applyAlignment="1">
      <alignment horizontal="center"/>
    </xf>
    <xf numFmtId="3" fontId="4" fillId="33" borderId="60" xfId="0" applyNumberFormat="1" applyFont="1" applyFill="1" applyBorder="1" applyAlignment="1">
      <alignment horizontal="center"/>
    </xf>
    <xf numFmtId="3" fontId="8" fillId="33" borderId="6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  <xf numFmtId="3" fontId="8" fillId="33" borderId="57" xfId="0" applyNumberFormat="1" applyFont="1" applyFill="1" applyBorder="1" applyAlignment="1">
      <alignment/>
    </xf>
    <xf numFmtId="3" fontId="8" fillId="33" borderId="57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wrapText="1"/>
    </xf>
    <xf numFmtId="3" fontId="8" fillId="33" borderId="57" xfId="0" applyNumberFormat="1" applyFont="1" applyFill="1" applyBorder="1" applyAlignment="1">
      <alignment horizontal="right"/>
    </xf>
    <xf numFmtId="3" fontId="4" fillId="33" borderId="65" xfId="0" applyNumberFormat="1" applyFont="1" applyFill="1" applyBorder="1" applyAlignment="1">
      <alignment/>
    </xf>
    <xf numFmtId="0" fontId="15" fillId="33" borderId="12" xfId="0" applyFont="1" applyFill="1" applyBorder="1" applyAlignment="1">
      <alignment vertical="center" wrapText="1"/>
    </xf>
    <xf numFmtId="3" fontId="8" fillId="33" borderId="25" xfId="0" applyNumberFormat="1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3" fontId="8" fillId="33" borderId="50" xfId="0" applyNumberFormat="1" applyFont="1" applyFill="1" applyBorder="1" applyAlignment="1">
      <alignment/>
    </xf>
    <xf numFmtId="3" fontId="8" fillId="33" borderId="51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0" fontId="8" fillId="33" borderId="28" xfId="0" applyFont="1" applyFill="1" applyBorder="1" applyAlignment="1">
      <alignment vertical="center" wrapText="1"/>
    </xf>
    <xf numFmtId="0" fontId="15" fillId="33" borderId="29" xfId="0" applyFont="1" applyFill="1" applyBorder="1" applyAlignment="1">
      <alignment wrapText="1"/>
    </xf>
    <xf numFmtId="0" fontId="15" fillId="33" borderId="16" xfId="0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16" fillId="33" borderId="16" xfId="0" applyFont="1" applyFill="1" applyBorder="1" applyAlignment="1">
      <alignment wrapText="1"/>
    </xf>
    <xf numFmtId="0" fontId="8" fillId="33" borderId="27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" fontId="4" fillId="33" borderId="62" xfId="0" applyNumberFormat="1" applyFont="1" applyFill="1" applyBorder="1" applyAlignment="1">
      <alignment/>
    </xf>
    <xf numFmtId="3" fontId="8" fillId="33" borderId="63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8" fillId="33" borderId="64" xfId="0" applyNumberFormat="1" applyFont="1" applyFill="1" applyBorder="1" applyAlignment="1">
      <alignment/>
    </xf>
    <xf numFmtId="0" fontId="3" fillId="33" borderId="4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top" wrapText="1"/>
    </xf>
    <xf numFmtId="0" fontId="8" fillId="33" borderId="38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8" fillId="33" borderId="56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47" xfId="0" applyFont="1" applyFill="1" applyBorder="1" applyAlignment="1">
      <alignment vertical="center" wrapText="1"/>
    </xf>
    <xf numFmtId="3" fontId="8" fillId="33" borderId="2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8" fillId="33" borderId="66" xfId="0" applyNumberFormat="1" applyFont="1" applyFill="1" applyBorder="1" applyAlignment="1">
      <alignment/>
    </xf>
    <xf numFmtId="3" fontId="8" fillId="33" borderId="67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wrapText="1"/>
    </xf>
    <xf numFmtId="3" fontId="17" fillId="33" borderId="69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 wrapText="1"/>
    </xf>
    <xf numFmtId="3" fontId="8" fillId="33" borderId="47" xfId="0" applyNumberFormat="1" applyFont="1" applyFill="1" applyBorder="1" applyAlignment="1">
      <alignment/>
    </xf>
    <xf numFmtId="0" fontId="3" fillId="33" borderId="5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53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wrapText="1"/>
    </xf>
    <xf numFmtId="4" fontId="4" fillId="33" borderId="42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4" fillId="33" borderId="0" xfId="0" applyFont="1" applyFill="1" applyAlignment="1">
      <alignment horizontal="center" wrapText="1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3" fontId="7" fillId="33" borderId="0" xfId="0" applyNumberFormat="1" applyFont="1" applyFill="1" applyAlignment="1">
      <alignment horizontal="right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9" fillId="33" borderId="53" xfId="0" applyFont="1" applyFill="1" applyBorder="1" applyAlignment="1">
      <alignment wrapText="1"/>
    </xf>
    <xf numFmtId="3" fontId="9" fillId="33" borderId="41" xfId="0" applyNumberFormat="1" applyFont="1" applyFill="1" applyBorder="1" applyAlignment="1">
      <alignment/>
    </xf>
    <xf numFmtId="3" fontId="9" fillId="33" borderId="61" xfId="0" applyNumberFormat="1" applyFont="1" applyFill="1" applyBorder="1" applyAlignment="1">
      <alignment/>
    </xf>
    <xf numFmtId="4" fontId="9" fillId="33" borderId="39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30" xfId="0" applyFont="1" applyFill="1" applyBorder="1" applyAlignment="1">
      <alignment wrapText="1"/>
    </xf>
    <xf numFmtId="0" fontId="3" fillId="33" borderId="30" xfId="0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/>
    </xf>
    <xf numFmtId="0" fontId="0" fillId="33" borderId="30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3" fillId="33" borderId="53" xfId="0" applyFont="1" applyFill="1" applyBorder="1" applyAlignment="1">
      <alignment vertical="top" wrapText="1"/>
    </xf>
    <xf numFmtId="0" fontId="0" fillId="33" borderId="40" xfId="0" applyFill="1" applyBorder="1" applyAlignment="1">
      <alignment wrapText="1"/>
    </xf>
    <xf numFmtId="0" fontId="3" fillId="33" borderId="56" xfId="0" applyFont="1" applyFill="1" applyBorder="1" applyAlignment="1">
      <alignment horizontal="left" wrapText="1"/>
    </xf>
    <xf numFmtId="0" fontId="3" fillId="33" borderId="70" xfId="0" applyFont="1" applyFill="1" applyBorder="1" applyAlignment="1">
      <alignment horizontal="left" vertical="top" wrapText="1"/>
    </xf>
    <xf numFmtId="0" fontId="3" fillId="33" borderId="70" xfId="0" applyFont="1" applyFill="1" applyBorder="1" applyAlignment="1">
      <alignment horizontal="left" wrapText="1"/>
    </xf>
    <xf numFmtId="6" fontId="12" fillId="33" borderId="0" xfId="0" applyNumberFormat="1" applyFont="1" applyFill="1" applyAlignment="1">
      <alignment/>
    </xf>
    <xf numFmtId="0" fontId="3" fillId="33" borderId="71" xfId="0" applyFont="1" applyFill="1" applyBorder="1" applyAlignment="1">
      <alignment horizontal="right" wrapText="1"/>
    </xf>
    <xf numFmtId="0" fontId="3" fillId="33" borderId="34" xfId="0" applyFont="1" applyFill="1" applyBorder="1" applyAlignment="1">
      <alignment horizontal="right" wrapText="1"/>
    </xf>
    <xf numFmtId="0" fontId="3" fillId="33" borderId="34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8" fillId="33" borderId="32" xfId="0" applyFont="1" applyFill="1" applyBorder="1" applyAlignment="1">
      <alignment vertical="top" wrapText="1"/>
    </xf>
    <xf numFmtId="3" fontId="17" fillId="33" borderId="34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0" fontId="11" fillId="33" borderId="40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right" wrapText="1"/>
    </xf>
    <xf numFmtId="0" fontId="0" fillId="33" borderId="30" xfId="0" applyFont="1" applyFill="1" applyBorder="1" applyAlignment="1">
      <alignment wrapText="1"/>
    </xf>
    <xf numFmtId="0" fontId="0" fillId="33" borderId="40" xfId="0" applyFont="1" applyFill="1" applyBorder="1" applyAlignment="1">
      <alignment wrapText="1"/>
    </xf>
    <xf numFmtId="6" fontId="0" fillId="33" borderId="0" xfId="0" applyNumberFormat="1" applyFill="1" applyAlignment="1">
      <alignment/>
    </xf>
    <xf numFmtId="0" fontId="3" fillId="33" borderId="16" xfId="0" applyFont="1" applyFill="1" applyBorder="1" applyAlignment="1">
      <alignment wrapText="1"/>
    </xf>
    <xf numFmtId="0" fontId="2" fillId="33" borderId="53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/>
    </xf>
    <xf numFmtId="3" fontId="0" fillId="33" borderId="50" xfId="0" applyNumberFormat="1" applyFont="1" applyFill="1" applyBorder="1" applyAlignment="1">
      <alignment/>
    </xf>
    <xf numFmtId="3" fontId="0" fillId="33" borderId="51" xfId="0" applyNumberFormat="1" applyFont="1" applyFill="1" applyBorder="1" applyAlignment="1">
      <alignment/>
    </xf>
    <xf numFmtId="3" fontId="0" fillId="33" borderId="72" xfId="0" applyNumberFormat="1" applyFont="1" applyFill="1" applyBorder="1" applyAlignment="1">
      <alignment/>
    </xf>
    <xf numFmtId="3" fontId="0" fillId="33" borderId="72" xfId="0" applyNumberFormat="1" applyFill="1" applyBorder="1" applyAlignment="1">
      <alignment/>
    </xf>
    <xf numFmtId="3" fontId="0" fillId="33" borderId="73" xfId="0" applyNumberForma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74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8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>
      <alignment wrapText="1"/>
    </xf>
    <xf numFmtId="0" fontId="8" fillId="33" borderId="64" xfId="0" applyFont="1" applyFill="1" applyBorder="1" applyAlignment="1">
      <alignment wrapText="1"/>
    </xf>
    <xf numFmtId="0" fontId="8" fillId="33" borderId="35" xfId="0" applyFont="1" applyFill="1" applyBorder="1" applyAlignment="1">
      <alignment wrapText="1"/>
    </xf>
    <xf numFmtId="3" fontId="8" fillId="33" borderId="75" xfId="0" applyNumberFormat="1" applyFont="1" applyFill="1" applyBorder="1" applyAlignment="1">
      <alignment/>
    </xf>
    <xf numFmtId="0" fontId="8" fillId="33" borderId="40" xfId="0" applyFont="1" applyFill="1" applyBorder="1" applyAlignment="1">
      <alignment wrapText="1"/>
    </xf>
    <xf numFmtId="0" fontId="3" fillId="33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center" wrapText="1"/>
    </xf>
    <xf numFmtId="0" fontId="15" fillId="33" borderId="57" xfId="0" applyFont="1" applyFill="1" applyBorder="1" applyAlignment="1">
      <alignment vertical="center" wrapText="1"/>
    </xf>
    <xf numFmtId="0" fontId="3" fillId="33" borderId="76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3" fontId="4" fillId="33" borderId="23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8" fillId="33" borderId="66" xfId="0" applyNumberFormat="1" applyFont="1" applyFill="1" applyBorder="1" applyAlignment="1">
      <alignment horizontal="right"/>
    </xf>
    <xf numFmtId="0" fontId="8" fillId="33" borderId="46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3" fontId="17" fillId="33" borderId="64" xfId="0" applyNumberFormat="1" applyFont="1" applyFill="1" applyBorder="1" applyAlignment="1">
      <alignment/>
    </xf>
    <xf numFmtId="3" fontId="17" fillId="33" borderId="45" xfId="0" applyNumberFormat="1" applyFont="1" applyFill="1" applyBorder="1" applyAlignment="1">
      <alignment/>
    </xf>
    <xf numFmtId="0" fontId="8" fillId="33" borderId="57" xfId="0" applyFont="1" applyFill="1" applyBorder="1" applyAlignment="1">
      <alignment wrapText="1"/>
    </xf>
    <xf numFmtId="0" fontId="8" fillId="33" borderId="29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wrapText="1"/>
    </xf>
    <xf numFmtId="0" fontId="8" fillId="33" borderId="44" xfId="0" applyFont="1" applyFill="1" applyBorder="1" applyAlignment="1">
      <alignment vertical="center" wrapText="1"/>
    </xf>
    <xf numFmtId="3" fontId="8" fillId="33" borderId="56" xfId="0" applyNumberFormat="1" applyFont="1" applyFill="1" applyBorder="1" applyAlignment="1">
      <alignment/>
    </xf>
    <xf numFmtId="0" fontId="8" fillId="33" borderId="67" xfId="0" applyFont="1" applyFill="1" applyBorder="1" applyAlignment="1">
      <alignment vertical="center" wrapText="1"/>
    </xf>
    <xf numFmtId="3" fontId="8" fillId="33" borderId="77" xfId="0" applyNumberFormat="1" applyFont="1" applyFill="1" applyBorder="1" applyAlignment="1">
      <alignment/>
    </xf>
    <xf numFmtId="3" fontId="8" fillId="33" borderId="77" xfId="0" applyNumberFormat="1" applyFont="1" applyFill="1" applyBorder="1" applyAlignment="1">
      <alignment horizontal="right"/>
    </xf>
    <xf numFmtId="0" fontId="8" fillId="33" borderId="30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3" fontId="17" fillId="33" borderId="46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8" fillId="34" borderId="38" xfId="0" applyFont="1" applyFill="1" applyBorder="1" applyAlignment="1">
      <alignment wrapText="1"/>
    </xf>
    <xf numFmtId="3" fontId="4" fillId="34" borderId="14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38" xfId="0" applyNumberFormat="1" applyFont="1" applyFill="1" applyBorder="1" applyAlignment="1">
      <alignment/>
    </xf>
    <xf numFmtId="4" fontId="4" fillId="34" borderId="74" xfId="0" applyNumberFormat="1" applyFont="1" applyFill="1" applyBorder="1" applyAlignment="1">
      <alignment/>
    </xf>
    <xf numFmtId="0" fontId="8" fillId="33" borderId="78" xfId="0" applyFont="1" applyFill="1" applyBorder="1" applyAlignment="1">
      <alignment vertical="center"/>
    </xf>
    <xf numFmtId="0" fontId="3" fillId="33" borderId="79" xfId="0" applyFont="1" applyFill="1" applyBorder="1" applyAlignment="1">
      <alignment vertical="center" wrapText="1"/>
    </xf>
    <xf numFmtId="0" fontId="3" fillId="33" borderId="77" xfId="0" applyFont="1" applyFill="1" applyBorder="1" applyAlignment="1">
      <alignment vertical="center" wrapText="1"/>
    </xf>
    <xf numFmtId="0" fontId="3" fillId="33" borderId="77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3" fontId="4" fillId="33" borderId="48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 horizontal="right"/>
    </xf>
    <xf numFmtId="0" fontId="15" fillId="33" borderId="63" xfId="0" applyFont="1" applyFill="1" applyBorder="1" applyAlignment="1">
      <alignment wrapText="1"/>
    </xf>
    <xf numFmtId="0" fontId="8" fillId="33" borderId="80" xfId="0" applyFont="1" applyFill="1" applyBorder="1" applyAlignment="1">
      <alignment vertical="top" wrapText="1"/>
    </xf>
    <xf numFmtId="3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/>
    </xf>
    <xf numFmtId="6" fontId="56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wrapText="1"/>
    </xf>
    <xf numFmtId="3" fontId="59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8" fillId="33" borderId="13" xfId="0" applyFont="1" applyFill="1" applyBorder="1" applyAlignment="1">
      <alignment wrapText="1"/>
    </xf>
    <xf numFmtId="0" fontId="8" fillId="35" borderId="16" xfId="0" applyNumberFormat="1" applyFont="1" applyFill="1" applyBorder="1" applyAlignment="1" applyProtection="1">
      <alignment vertical="center" wrapText="1"/>
      <protection/>
    </xf>
    <xf numFmtId="3" fontId="8" fillId="35" borderId="14" xfId="0" applyNumberFormat="1" applyFont="1" applyFill="1" applyBorder="1" applyAlignment="1">
      <alignment/>
    </xf>
    <xf numFmtId="0" fontId="8" fillId="35" borderId="15" xfId="0" applyFont="1" applyFill="1" applyBorder="1" applyAlignment="1">
      <alignment/>
    </xf>
    <xf numFmtId="3" fontId="8" fillId="35" borderId="16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0" fontId="0" fillId="33" borderId="30" xfId="0" applyFont="1" applyFill="1" applyBorder="1" applyAlignment="1">
      <alignment wrapText="1"/>
    </xf>
    <xf numFmtId="3" fontId="8" fillId="35" borderId="15" xfId="0" applyNumberFormat="1" applyFont="1" applyFill="1" applyBorder="1" applyAlignment="1">
      <alignment/>
    </xf>
    <xf numFmtId="0" fontId="19" fillId="33" borderId="13" xfId="0" applyFont="1" applyFill="1" applyBorder="1" applyAlignment="1">
      <alignment wrapText="1"/>
    </xf>
    <xf numFmtId="0" fontId="0" fillId="33" borderId="34" xfId="0" applyFont="1" applyFill="1" applyBorder="1" applyAlignment="1">
      <alignment wrapText="1"/>
    </xf>
    <xf numFmtId="0" fontId="18" fillId="33" borderId="16" xfId="0" applyFont="1" applyFill="1" applyBorder="1" applyAlignment="1">
      <alignment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8" fillId="35" borderId="56" xfId="0" applyFont="1" applyFill="1" applyBorder="1" applyAlignment="1">
      <alignment vertical="top" wrapText="1"/>
    </xf>
    <xf numFmtId="3" fontId="8" fillId="35" borderId="25" xfId="0" applyNumberFormat="1" applyFont="1" applyFill="1" applyBorder="1" applyAlignment="1">
      <alignment/>
    </xf>
    <xf numFmtId="0" fontId="8" fillId="35" borderId="26" xfId="0" applyFont="1" applyFill="1" applyBorder="1" applyAlignment="1">
      <alignment/>
    </xf>
    <xf numFmtId="3" fontId="8" fillId="35" borderId="43" xfId="0" applyNumberFormat="1" applyFont="1" applyFill="1" applyBorder="1" applyAlignment="1">
      <alignment/>
    </xf>
    <xf numFmtId="3" fontId="8" fillId="35" borderId="44" xfId="0" applyNumberFormat="1" applyFont="1" applyFill="1" applyBorder="1" applyAlignment="1">
      <alignment/>
    </xf>
    <xf numFmtId="0" fontId="18" fillId="33" borderId="63" xfId="0" applyFont="1" applyFill="1" applyBorder="1" applyAlignment="1">
      <alignment wrapText="1"/>
    </xf>
    <xf numFmtId="6" fontId="0" fillId="33" borderId="0" xfId="0" applyNumberFormat="1" applyFont="1" applyFill="1" applyAlignment="1">
      <alignment/>
    </xf>
    <xf numFmtId="0" fontId="8" fillId="35" borderId="13" xfId="0" applyFont="1" applyFill="1" applyBorder="1" applyAlignment="1">
      <alignment wrapText="1"/>
    </xf>
    <xf numFmtId="3" fontId="8" fillId="35" borderId="29" xfId="0" applyNumberFormat="1" applyFont="1" applyFill="1" applyBorder="1" applyAlignment="1">
      <alignment/>
    </xf>
    <xf numFmtId="3" fontId="8" fillId="35" borderId="29" xfId="0" applyNumberFormat="1" applyFont="1" applyFill="1" applyBorder="1" applyAlignment="1">
      <alignment/>
    </xf>
    <xf numFmtId="0" fontId="8" fillId="35" borderId="38" xfId="0" applyFont="1" applyFill="1" applyBorder="1" applyAlignment="1">
      <alignment wrapText="1"/>
    </xf>
    <xf numFmtId="3" fontId="4" fillId="35" borderId="14" xfId="0" applyNumberFormat="1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8" fillId="35" borderId="13" xfId="0" applyNumberFormat="1" applyFont="1" applyFill="1" applyBorder="1" applyAlignment="1">
      <alignment/>
    </xf>
    <xf numFmtId="0" fontId="8" fillId="35" borderId="37" xfId="0" applyFont="1" applyFill="1" applyBorder="1" applyAlignment="1">
      <alignment wrapText="1"/>
    </xf>
    <xf numFmtId="3" fontId="8" fillId="35" borderId="16" xfId="0" applyNumberFormat="1" applyFont="1" applyFill="1" applyBorder="1" applyAlignment="1">
      <alignment/>
    </xf>
    <xf numFmtId="3" fontId="8" fillId="35" borderId="38" xfId="0" applyNumberFormat="1" applyFont="1" applyFill="1" applyBorder="1" applyAlignment="1">
      <alignment/>
    </xf>
    <xf numFmtId="0" fontId="18" fillId="35" borderId="12" xfId="0" applyFont="1" applyFill="1" applyBorder="1" applyAlignment="1">
      <alignment vertical="center" wrapText="1"/>
    </xf>
    <xf numFmtId="3" fontId="8" fillId="35" borderId="25" xfId="0" applyNumberFormat="1" applyFont="1" applyFill="1" applyBorder="1" applyAlignment="1">
      <alignment/>
    </xf>
    <xf numFmtId="3" fontId="8" fillId="35" borderId="26" xfId="0" applyNumberFormat="1" applyFont="1" applyFill="1" applyBorder="1" applyAlignment="1">
      <alignment/>
    </xf>
    <xf numFmtId="3" fontId="8" fillId="35" borderId="63" xfId="0" applyNumberFormat="1" applyFont="1" applyFill="1" applyBorder="1" applyAlignment="1">
      <alignment/>
    </xf>
    <xf numFmtId="3" fontId="8" fillId="35" borderId="57" xfId="0" applyNumberFormat="1" applyFont="1" applyFill="1" applyBorder="1" applyAlignment="1">
      <alignment/>
    </xf>
    <xf numFmtId="3" fontId="8" fillId="35" borderId="22" xfId="0" applyNumberFormat="1" applyFont="1" applyFill="1" applyBorder="1" applyAlignment="1">
      <alignment/>
    </xf>
    <xf numFmtId="0" fontId="18" fillId="33" borderId="57" xfId="0" applyFont="1" applyFill="1" applyBorder="1" applyAlignment="1">
      <alignment vertical="center" wrapText="1"/>
    </xf>
    <xf numFmtId="0" fontId="18" fillId="33" borderId="29" xfId="0" applyFont="1" applyFill="1" applyBorder="1" applyAlignment="1">
      <alignment wrapText="1"/>
    </xf>
    <xf numFmtId="0" fontId="18" fillId="33" borderId="16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8" fillId="35" borderId="16" xfId="0" applyFont="1" applyFill="1" applyBorder="1" applyAlignment="1">
      <alignment wrapText="1"/>
    </xf>
    <xf numFmtId="3" fontId="8" fillId="35" borderId="59" xfId="0" applyNumberFormat="1" applyFont="1" applyFill="1" applyBorder="1" applyAlignment="1">
      <alignment/>
    </xf>
    <xf numFmtId="3" fontId="8" fillId="35" borderId="60" xfId="0" applyNumberFormat="1" applyFont="1" applyFill="1" applyBorder="1" applyAlignment="1">
      <alignment/>
    </xf>
    <xf numFmtId="3" fontId="0" fillId="33" borderId="72" xfId="0" applyNumberFormat="1" applyFont="1" applyFill="1" applyBorder="1" applyAlignment="1">
      <alignment/>
    </xf>
    <xf numFmtId="3" fontId="0" fillId="33" borderId="73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4" fillId="0" borderId="74" xfId="0" applyNumberFormat="1" applyFont="1" applyFill="1" applyBorder="1" applyAlignment="1">
      <alignment/>
    </xf>
    <xf numFmtId="0" fontId="14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9" fillId="0" borderId="53" xfId="0" applyFont="1" applyFill="1" applyBorder="1" applyAlignment="1">
      <alignment wrapText="1"/>
    </xf>
    <xf numFmtId="3" fontId="9" fillId="0" borderId="41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16" xfId="0" applyNumberFormat="1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top" wrapText="1"/>
    </xf>
    <xf numFmtId="4" fontId="8" fillId="0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3" fontId="8" fillId="0" borderId="23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4" fontId="8" fillId="0" borderId="40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0" fontId="8" fillId="0" borderId="35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3" fontId="4" fillId="0" borderId="4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8" fillId="0" borderId="56" xfId="0" applyFont="1" applyFill="1" applyBorder="1" applyAlignment="1">
      <alignment vertical="top" wrapText="1"/>
    </xf>
    <xf numFmtId="0" fontId="8" fillId="0" borderId="26" xfId="0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3" fontId="8" fillId="0" borderId="29" xfId="0" applyNumberFormat="1" applyFont="1" applyFill="1" applyBorder="1" applyAlignment="1">
      <alignment/>
    </xf>
    <xf numFmtId="0" fontId="8" fillId="0" borderId="80" xfId="0" applyFont="1" applyFill="1" applyBorder="1" applyAlignment="1">
      <alignment vertical="top" wrapText="1"/>
    </xf>
    <xf numFmtId="3" fontId="8" fillId="0" borderId="59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0" fontId="18" fillId="0" borderId="63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8" fillId="0" borderId="64" xfId="0" applyFont="1" applyFill="1" applyBorder="1" applyAlignment="1">
      <alignment wrapText="1"/>
    </xf>
    <xf numFmtId="3" fontId="8" fillId="0" borderId="45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3" fontId="17" fillId="0" borderId="25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0" fontId="8" fillId="0" borderId="47" xfId="0" applyFont="1" applyFill="1" applyBorder="1" applyAlignment="1">
      <alignment horizontal="right" wrapText="1"/>
    </xf>
    <xf numFmtId="3" fontId="17" fillId="0" borderId="23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7" fillId="0" borderId="47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right" wrapText="1"/>
    </xf>
    <xf numFmtId="3" fontId="17" fillId="0" borderId="48" xfId="0" applyNumberFormat="1" applyFont="1" applyFill="1" applyBorder="1" applyAlignment="1">
      <alignment/>
    </xf>
    <xf numFmtId="3" fontId="17" fillId="0" borderId="49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right" wrapText="1"/>
    </xf>
    <xf numFmtId="3" fontId="8" fillId="0" borderId="50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17" fillId="0" borderId="35" xfId="0" applyNumberFormat="1" applyFont="1" applyFill="1" applyBorder="1" applyAlignment="1">
      <alignment/>
    </xf>
    <xf numFmtId="0" fontId="8" fillId="0" borderId="39" xfId="0" applyFont="1" applyFill="1" applyBorder="1" applyAlignment="1">
      <alignment wrapText="1"/>
    </xf>
    <xf numFmtId="3" fontId="8" fillId="0" borderId="41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/>
    </xf>
    <xf numFmtId="3" fontId="4" fillId="0" borderId="53" xfId="0" applyNumberFormat="1" applyFont="1" applyFill="1" applyBorder="1" applyAlignment="1">
      <alignment horizontal="right" wrapText="1"/>
    </xf>
    <xf numFmtId="3" fontId="4" fillId="0" borderId="39" xfId="0" applyNumberFormat="1" applyFont="1" applyFill="1" applyBorder="1" applyAlignment="1">
      <alignment horizontal="right" wrapText="1"/>
    </xf>
    <xf numFmtId="0" fontId="8" fillId="0" borderId="44" xfId="0" applyFont="1" applyFill="1" applyBorder="1" applyAlignment="1">
      <alignment vertical="top" wrapText="1"/>
    </xf>
    <xf numFmtId="3" fontId="17" fillId="0" borderId="54" xfId="0" applyNumberFormat="1" applyFont="1" applyFill="1" applyBorder="1" applyAlignment="1">
      <alignment/>
    </xf>
    <xf numFmtId="3" fontId="17" fillId="0" borderId="55" xfId="0" applyNumberFormat="1" applyFont="1" applyFill="1" applyBorder="1" applyAlignment="1">
      <alignment/>
    </xf>
    <xf numFmtId="3" fontId="17" fillId="0" borderId="56" xfId="0" applyNumberFormat="1" applyFont="1" applyFill="1" applyBorder="1" applyAlignment="1">
      <alignment/>
    </xf>
    <xf numFmtId="3" fontId="17" fillId="0" borderId="57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8" fillId="0" borderId="44" xfId="0" applyFont="1" applyFill="1" applyBorder="1" applyAlignment="1">
      <alignment vertical="center" wrapText="1"/>
    </xf>
    <xf numFmtId="3" fontId="8" fillId="0" borderId="56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/>
    </xf>
    <xf numFmtId="0" fontId="8" fillId="0" borderId="32" xfId="0" applyFont="1" applyFill="1" applyBorder="1" applyAlignment="1">
      <alignment vertical="top" wrapText="1"/>
    </xf>
    <xf numFmtId="3" fontId="17" fillId="0" borderId="69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8" fillId="0" borderId="58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0" fontId="8" fillId="0" borderId="31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3" fontId="4" fillId="0" borderId="41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8" fillId="0" borderId="63" xfId="0" applyNumberFormat="1" applyFont="1" applyFill="1" applyBorder="1" applyAlignment="1">
      <alignment/>
    </xf>
    <xf numFmtId="0" fontId="8" fillId="0" borderId="78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0" borderId="37" xfId="0" applyFont="1" applyFill="1" applyBorder="1" applyAlignment="1">
      <alignment wrapText="1"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0" fontId="8" fillId="0" borderId="58" xfId="0" applyFont="1" applyFill="1" applyBorder="1" applyAlignment="1">
      <alignment vertical="center" wrapText="1"/>
    </xf>
    <xf numFmtId="3" fontId="4" fillId="0" borderId="59" xfId="0" applyNumberFormat="1" applyFon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3" fontId="8" fillId="0" borderId="64" xfId="0" applyNumberFormat="1" applyFont="1" applyFill="1" applyBorder="1" applyAlignment="1">
      <alignment horizontal="right"/>
    </xf>
    <xf numFmtId="0" fontId="8" fillId="0" borderId="47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8" fillId="0" borderId="66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3" fontId="17" fillId="0" borderId="64" xfId="0" applyNumberFormat="1" applyFont="1" applyFill="1" applyBorder="1" applyAlignment="1">
      <alignment/>
    </xf>
    <xf numFmtId="3" fontId="17" fillId="0" borderId="45" xfId="0" applyNumberFormat="1" applyFont="1" applyFill="1" applyBorder="1" applyAlignment="1">
      <alignment/>
    </xf>
    <xf numFmtId="0" fontId="8" fillId="0" borderId="57" xfId="0" applyFont="1" applyFill="1" applyBorder="1" applyAlignment="1">
      <alignment wrapText="1"/>
    </xf>
    <xf numFmtId="3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8" fillId="0" borderId="57" xfId="0" applyNumberFormat="1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3" fontId="8" fillId="0" borderId="29" xfId="0" applyNumberFormat="1" applyFont="1" applyFill="1" applyBorder="1" applyAlignment="1">
      <alignment horizontal="right"/>
    </xf>
    <xf numFmtId="3" fontId="8" fillId="0" borderId="57" xfId="0" applyNumberFormat="1" applyFont="1" applyFill="1" applyBorder="1" applyAlignment="1">
      <alignment horizontal="right"/>
    </xf>
    <xf numFmtId="0" fontId="8" fillId="0" borderId="67" xfId="0" applyFont="1" applyFill="1" applyBorder="1" applyAlignment="1">
      <alignment vertical="center" wrapText="1"/>
    </xf>
    <xf numFmtId="3" fontId="8" fillId="0" borderId="77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 horizontal="right"/>
    </xf>
    <xf numFmtId="4" fontId="4" fillId="0" borderId="62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63" xfId="0" applyNumberFormat="1" applyFont="1" applyFill="1" applyBorder="1" applyAlignment="1">
      <alignment/>
    </xf>
    <xf numFmtId="0" fontId="18" fillId="0" borderId="57" xfId="0" applyFont="1" applyFill="1" applyBorder="1" applyAlignment="1">
      <alignment vertical="center" wrapText="1"/>
    </xf>
    <xf numFmtId="3" fontId="8" fillId="0" borderId="50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3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wrapText="1"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3" fontId="8" fillId="0" borderId="67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8" fillId="35" borderId="13" xfId="0" applyFont="1" applyFill="1" applyBorder="1" applyAlignment="1">
      <alignment wrapText="1"/>
    </xf>
    <xf numFmtId="3" fontId="8" fillId="35" borderId="19" xfId="0" applyNumberFormat="1" applyFont="1" applyFill="1" applyBorder="1" applyAlignment="1">
      <alignment/>
    </xf>
    <xf numFmtId="0" fontId="8" fillId="35" borderId="22" xfId="0" applyFont="1" applyFill="1" applyBorder="1" applyAlignment="1">
      <alignment horizontal="center" vertical="top" wrapText="1"/>
    </xf>
    <xf numFmtId="0" fontId="19" fillId="35" borderId="13" xfId="0" applyFont="1" applyFill="1" applyBorder="1" applyAlignment="1">
      <alignment wrapText="1"/>
    </xf>
    <xf numFmtId="0" fontId="8" fillId="35" borderId="12" xfId="0" applyNumberFormat="1" applyFont="1" applyFill="1" applyBorder="1" applyAlignment="1" applyProtection="1">
      <alignment vertical="center" wrapText="1"/>
      <protection/>
    </xf>
    <xf numFmtId="0" fontId="8" fillId="35" borderId="16" xfId="0" applyNumberFormat="1" applyFont="1" applyFill="1" applyBorder="1" applyAlignment="1" applyProtection="1">
      <alignment horizontal="left" vertical="center" wrapText="1"/>
      <protection/>
    </xf>
    <xf numFmtId="0" fontId="18" fillId="35" borderId="16" xfId="0" applyFont="1" applyFill="1" applyBorder="1" applyAlignment="1">
      <alignment wrapText="1"/>
    </xf>
    <xf numFmtId="0" fontId="8" fillId="35" borderId="27" xfId="0" applyFont="1" applyFill="1" applyBorder="1" applyAlignment="1">
      <alignment wrapText="1"/>
    </xf>
    <xf numFmtId="3" fontId="8" fillId="35" borderId="23" xfId="0" applyNumberFormat="1" applyFont="1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3" fontId="8" fillId="35" borderId="26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/>
    </xf>
    <xf numFmtId="0" fontId="8" fillId="35" borderId="27" xfId="0" applyNumberFormat="1" applyFont="1" applyFill="1" applyBorder="1" applyAlignment="1" applyProtection="1">
      <alignment wrapText="1"/>
      <protection/>
    </xf>
    <xf numFmtId="3" fontId="8" fillId="35" borderId="27" xfId="0" applyNumberFormat="1" applyFont="1" applyFill="1" applyBorder="1" applyAlignment="1">
      <alignment/>
    </xf>
    <xf numFmtId="0" fontId="8" fillId="35" borderId="16" xfId="0" applyFont="1" applyFill="1" applyBorder="1" applyAlignment="1">
      <alignment wrapText="1"/>
    </xf>
    <xf numFmtId="3" fontId="8" fillId="35" borderId="28" xfId="0" applyNumberFormat="1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>
      <alignment wrapText="1"/>
    </xf>
    <xf numFmtId="3" fontId="8" fillId="0" borderId="24" xfId="0" applyNumberFormat="1" applyFont="1" applyFill="1" applyBorder="1" applyAlignment="1">
      <alignment/>
    </xf>
    <xf numFmtId="0" fontId="8" fillId="0" borderId="27" xfId="0" applyNumberFormat="1" applyFont="1" applyFill="1" applyBorder="1" applyAlignment="1" applyProtection="1">
      <alignment wrapText="1"/>
      <protection/>
    </xf>
    <xf numFmtId="0" fontId="8" fillId="0" borderId="16" xfId="0" applyFont="1" applyFill="1" applyBorder="1" applyAlignment="1">
      <alignment wrapText="1"/>
    </xf>
    <xf numFmtId="3" fontId="8" fillId="0" borderId="28" xfId="0" applyNumberFormat="1" applyFont="1" applyFill="1" applyBorder="1" applyAlignment="1">
      <alignment/>
    </xf>
    <xf numFmtId="0" fontId="8" fillId="35" borderId="29" xfId="0" applyFont="1" applyFill="1" applyBorder="1" applyAlignment="1">
      <alignment vertical="center" wrapText="1"/>
    </xf>
    <xf numFmtId="3" fontId="4" fillId="35" borderId="14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8" fillId="35" borderId="57" xfId="0" applyNumberFormat="1" applyFont="1" applyFill="1" applyBorder="1" applyAlignment="1">
      <alignment/>
    </xf>
    <xf numFmtId="3" fontId="8" fillId="35" borderId="57" xfId="0" applyNumberFormat="1" applyFont="1" applyFill="1" applyBorder="1" applyAlignment="1">
      <alignment horizontal="right"/>
    </xf>
    <xf numFmtId="0" fontId="8" fillId="35" borderId="67" xfId="0" applyFont="1" applyFill="1" applyBorder="1" applyAlignment="1">
      <alignment vertical="center" wrapText="1"/>
    </xf>
    <xf numFmtId="3" fontId="4" fillId="35" borderId="23" xfId="0" applyNumberFormat="1" applyFont="1" applyFill="1" applyBorder="1" applyAlignment="1">
      <alignment horizontal="center"/>
    </xf>
    <xf numFmtId="3" fontId="4" fillId="35" borderId="24" xfId="0" applyNumberFormat="1" applyFont="1" applyFill="1" applyBorder="1" applyAlignment="1">
      <alignment horizontal="center"/>
    </xf>
    <xf numFmtId="3" fontId="8" fillId="35" borderId="77" xfId="0" applyNumberFormat="1" applyFont="1" applyFill="1" applyBorder="1" applyAlignment="1">
      <alignment/>
    </xf>
    <xf numFmtId="3" fontId="8" fillId="35" borderId="77" xfId="0" applyNumberFormat="1" applyFont="1" applyFill="1" applyBorder="1" applyAlignment="1">
      <alignment horizontal="right"/>
    </xf>
    <xf numFmtId="0" fontId="19" fillId="35" borderId="16" xfId="0" applyFont="1" applyFill="1" applyBorder="1" applyAlignment="1">
      <alignment wrapText="1"/>
    </xf>
    <xf numFmtId="4" fontId="8" fillId="35" borderId="67" xfId="0" applyNumberFormat="1" applyFont="1" applyFill="1" applyBorder="1" applyAlignment="1">
      <alignment/>
    </xf>
    <xf numFmtId="4" fontId="8" fillId="35" borderId="66" xfId="0" applyNumberFormat="1" applyFont="1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3" fontId="8" fillId="35" borderId="23" xfId="0" applyNumberFormat="1" applyFont="1" applyFill="1" applyBorder="1" applyAlignment="1">
      <alignment/>
    </xf>
    <xf numFmtId="0" fontId="8" fillId="35" borderId="47" xfId="0" applyFont="1" applyFill="1" applyBorder="1" applyAlignment="1">
      <alignment vertical="center" wrapText="1"/>
    </xf>
    <xf numFmtId="3" fontId="8" fillId="35" borderId="35" xfId="0" applyNumberFormat="1" applyFont="1" applyFill="1" applyBorder="1" applyAlignment="1">
      <alignment/>
    </xf>
    <xf numFmtId="3" fontId="8" fillId="35" borderId="75" xfId="0" applyNumberFormat="1" applyFont="1" applyFill="1" applyBorder="1" applyAlignment="1">
      <alignment/>
    </xf>
    <xf numFmtId="3" fontId="8" fillId="35" borderId="51" xfId="0" applyNumberFormat="1" applyFont="1" applyFill="1" applyBorder="1" applyAlignment="1">
      <alignment/>
    </xf>
    <xf numFmtId="3" fontId="8" fillId="35" borderId="50" xfId="0" applyNumberFormat="1" applyFont="1" applyFill="1" applyBorder="1" applyAlignment="1">
      <alignment/>
    </xf>
    <xf numFmtId="0" fontId="8" fillId="35" borderId="35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11" fillId="0" borderId="40" xfId="0" applyFont="1" applyFill="1" applyBorder="1" applyAlignment="1">
      <alignment wrapText="1"/>
    </xf>
    <xf numFmtId="0" fontId="2" fillId="0" borderId="5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79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wrapText="1"/>
    </xf>
    <xf numFmtId="0" fontId="3" fillId="0" borderId="57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7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30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wrapText="1"/>
    </xf>
    <xf numFmtId="4" fontId="8" fillId="0" borderId="66" xfId="0" applyNumberFormat="1" applyFont="1" applyFill="1" applyBorder="1" applyAlignment="1">
      <alignment/>
    </xf>
    <xf numFmtId="4" fontId="8" fillId="0" borderId="67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2" fillId="0" borderId="5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8" fillId="35" borderId="14" xfId="0" applyFont="1" applyFill="1" applyBorder="1" applyAlignment="1">
      <alignment wrapText="1"/>
    </xf>
    <xf numFmtId="3" fontId="4" fillId="35" borderId="25" xfId="0" applyNumberFormat="1" applyFont="1" applyFill="1" applyBorder="1" applyAlignment="1">
      <alignment horizontal="center"/>
    </xf>
    <xf numFmtId="3" fontId="4" fillId="35" borderId="26" xfId="0" applyNumberFormat="1" applyFont="1" applyFill="1" applyBorder="1" applyAlignment="1">
      <alignment horizontal="center"/>
    </xf>
    <xf numFmtId="0" fontId="8" fillId="35" borderId="27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8" fillId="35" borderId="44" xfId="0" applyFont="1" applyFill="1" applyBorder="1" applyAlignment="1">
      <alignment vertical="top" wrapText="1"/>
    </xf>
    <xf numFmtId="3" fontId="17" fillId="35" borderId="54" xfId="0" applyNumberFormat="1" applyFont="1" applyFill="1" applyBorder="1" applyAlignment="1">
      <alignment/>
    </xf>
    <xf numFmtId="3" fontId="17" fillId="35" borderId="55" xfId="0" applyNumberFormat="1" applyFont="1" applyFill="1" applyBorder="1" applyAlignment="1">
      <alignment/>
    </xf>
    <xf numFmtId="3" fontId="17" fillId="35" borderId="37" xfId="0" applyNumberFormat="1" applyFont="1" applyFill="1" applyBorder="1" applyAlignment="1">
      <alignment/>
    </xf>
    <xf numFmtId="3" fontId="8" fillId="35" borderId="56" xfId="0" applyNumberFormat="1" applyFont="1" applyFill="1" applyBorder="1" applyAlignment="1">
      <alignment/>
    </xf>
    <xf numFmtId="0" fontId="8" fillId="35" borderId="58" xfId="0" applyFont="1" applyFill="1" applyBorder="1" applyAlignment="1">
      <alignment wrapText="1"/>
    </xf>
    <xf numFmtId="3" fontId="8" fillId="35" borderId="59" xfId="0" applyNumberFormat="1" applyFont="1" applyFill="1" applyBorder="1" applyAlignment="1">
      <alignment/>
    </xf>
    <xf numFmtId="3" fontId="8" fillId="35" borderId="6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8" fillId="35" borderId="46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" fillId="0" borderId="34" xfId="0" applyFont="1" applyFill="1" applyBorder="1" applyAlignment="1">
      <alignment horizontal="right" wrapText="1"/>
    </xf>
    <xf numFmtId="3" fontId="5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5" borderId="63" xfId="0" applyFont="1" applyFill="1" applyBorder="1" applyAlignment="1">
      <alignment wrapText="1"/>
    </xf>
    <xf numFmtId="3" fontId="8" fillId="35" borderId="12" xfId="0" applyNumberFormat="1" applyFont="1" applyFill="1" applyBorder="1" applyAlignment="1">
      <alignment/>
    </xf>
    <xf numFmtId="3" fontId="8" fillId="35" borderId="37" xfId="0" applyNumberFormat="1" applyFont="1" applyFill="1" applyBorder="1" applyAlignment="1">
      <alignment/>
    </xf>
    <xf numFmtId="0" fontId="8" fillId="35" borderId="57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35" borderId="10" xfId="0" applyFont="1" applyFill="1" applyBorder="1" applyAlignment="1">
      <alignment wrapText="1"/>
    </xf>
    <xf numFmtId="3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58" xfId="0" applyFont="1" applyFill="1" applyBorder="1" applyAlignment="1">
      <alignment vertical="center" wrapText="1"/>
    </xf>
    <xf numFmtId="3" fontId="8" fillId="35" borderId="59" xfId="0" applyNumberFormat="1" applyFont="1" applyFill="1" applyBorder="1" applyAlignment="1">
      <alignment vertical="center"/>
    </xf>
    <xf numFmtId="3" fontId="8" fillId="35" borderId="6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0" borderId="68" xfId="0" applyFont="1" applyFill="1" applyBorder="1" applyAlignment="1">
      <alignment vertical="center" wrapText="1"/>
    </xf>
    <xf numFmtId="3" fontId="8" fillId="33" borderId="81" xfId="0" applyNumberFormat="1" applyFont="1" applyFill="1" applyBorder="1" applyAlignment="1">
      <alignment horizontal="center"/>
    </xf>
    <xf numFmtId="3" fontId="8" fillId="33" borderId="44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 wrapText="1"/>
    </xf>
    <xf numFmtId="0" fontId="8" fillId="33" borderId="50" xfId="0" applyFont="1" applyFill="1" applyBorder="1" applyAlignment="1">
      <alignment horizontal="center" wrapText="1"/>
    </xf>
    <xf numFmtId="0" fontId="4" fillId="33" borderId="6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3" fontId="7" fillId="33" borderId="82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3" fontId="8" fillId="33" borderId="19" xfId="0" applyNumberFormat="1" applyFont="1" applyFill="1" applyBorder="1" applyAlignment="1">
      <alignment horizontal="center" wrapText="1"/>
    </xf>
    <xf numFmtId="0" fontId="8" fillId="33" borderId="73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3" fontId="0" fillId="33" borderId="66" xfId="0" applyNumberFormat="1" applyFont="1" applyFill="1" applyBorder="1" applyAlignment="1">
      <alignment horizontal="center" wrapText="1"/>
    </xf>
    <xf numFmtId="0" fontId="0" fillId="33" borderId="75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3" fontId="8" fillId="33" borderId="29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3" fontId="8" fillId="33" borderId="29" xfId="0" applyNumberFormat="1" applyFont="1" applyFill="1" applyBorder="1" applyAlignment="1">
      <alignment horizontal="center" wrapText="1"/>
    </xf>
    <xf numFmtId="3" fontId="8" fillId="33" borderId="17" xfId="0" applyNumberFormat="1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68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wrapText="1"/>
    </xf>
    <xf numFmtId="0" fontId="8" fillId="33" borderId="71" xfId="0" applyNumberFormat="1" applyFont="1" applyFill="1" applyBorder="1" applyAlignment="1" applyProtection="1">
      <alignment horizontal="left" vertical="center" wrapText="1"/>
      <protection/>
    </xf>
    <xf numFmtId="0" fontId="8" fillId="33" borderId="56" xfId="0" applyNumberFormat="1" applyFont="1" applyFill="1" applyBorder="1" applyAlignment="1" applyProtection="1">
      <alignment horizontal="left" vertical="center" wrapText="1"/>
      <protection/>
    </xf>
    <xf numFmtId="3" fontId="8" fillId="33" borderId="27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/>
    </xf>
    <xf numFmtId="0" fontId="15" fillId="33" borderId="71" xfId="0" applyFont="1" applyFill="1" applyBorder="1" applyAlignment="1">
      <alignment horizontal="left" vertical="center" wrapText="1"/>
    </xf>
    <xf numFmtId="0" fontId="15" fillId="33" borderId="34" xfId="0" applyFont="1" applyFill="1" applyBorder="1" applyAlignment="1">
      <alignment horizontal="left" vertical="center" wrapText="1"/>
    </xf>
    <xf numFmtId="0" fontId="15" fillId="33" borderId="56" xfId="0" applyFont="1" applyFill="1" applyBorder="1" applyAlignment="1">
      <alignment horizontal="left" vertical="center" wrapText="1"/>
    </xf>
    <xf numFmtId="4" fontId="8" fillId="33" borderId="27" xfId="0" applyNumberFormat="1" applyFont="1" applyFill="1" applyBorder="1" applyAlignment="1">
      <alignment horizontal="right" vertical="center"/>
    </xf>
    <xf numFmtId="4" fontId="8" fillId="33" borderId="30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3" fontId="0" fillId="33" borderId="0" xfId="0" applyNumberFormat="1" applyFill="1" applyAlignment="1">
      <alignment horizontal="right" wrapText="1"/>
    </xf>
    <xf numFmtId="4" fontId="8" fillId="33" borderId="66" xfId="0" applyNumberFormat="1" applyFont="1" applyFill="1" applyBorder="1" applyAlignment="1">
      <alignment horizontal="right" vertical="center"/>
    </xf>
    <xf numFmtId="4" fontId="8" fillId="33" borderId="83" xfId="0" applyNumberFormat="1" applyFont="1" applyFill="1" applyBorder="1" applyAlignment="1">
      <alignment horizontal="right" vertical="center"/>
    </xf>
    <xf numFmtId="4" fontId="8" fillId="33" borderId="63" xfId="0" applyNumberFormat="1" applyFont="1" applyFill="1" applyBorder="1" applyAlignment="1">
      <alignment horizontal="right" vertical="center"/>
    </xf>
    <xf numFmtId="3" fontId="8" fillId="33" borderId="71" xfId="0" applyNumberFormat="1" applyFont="1" applyFill="1" applyBorder="1" applyAlignment="1">
      <alignment horizontal="right" vertical="center"/>
    </xf>
    <xf numFmtId="3" fontId="8" fillId="33" borderId="56" xfId="0" applyNumberFormat="1" applyFont="1" applyFill="1" applyBorder="1" applyAlignment="1">
      <alignment horizontal="right" vertical="center"/>
    </xf>
    <xf numFmtId="3" fontId="0" fillId="33" borderId="19" xfId="0" applyNumberFormat="1" applyFont="1" applyFill="1" applyBorder="1" applyAlignment="1">
      <alignment horizontal="center" wrapText="1"/>
    </xf>
    <xf numFmtId="0" fontId="0" fillId="33" borderId="73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3" fontId="0" fillId="33" borderId="82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right" wrapText="1"/>
    </xf>
    <xf numFmtId="0" fontId="18" fillId="33" borderId="71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 wrapText="1"/>
    </xf>
    <xf numFmtId="0" fontId="18" fillId="33" borderId="56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wrapText="1"/>
    </xf>
    <xf numFmtId="0" fontId="7" fillId="33" borderId="73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3" fontId="7" fillId="0" borderId="82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66" xfId="0" applyNumberFormat="1" applyFont="1" applyFill="1" applyBorder="1" applyAlignment="1">
      <alignment horizontal="right" vertical="center"/>
    </xf>
    <xf numFmtId="4" fontId="8" fillId="0" borderId="83" xfId="0" applyNumberFormat="1" applyFont="1" applyFill="1" applyBorder="1" applyAlignment="1">
      <alignment horizontal="right" vertical="center"/>
    </xf>
    <xf numFmtId="4" fontId="8" fillId="0" borderId="63" xfId="0" applyNumberFormat="1" applyFont="1" applyFill="1" applyBorder="1" applyAlignment="1">
      <alignment horizontal="right" vertical="center"/>
    </xf>
    <xf numFmtId="0" fontId="8" fillId="35" borderId="71" xfId="0" applyNumberFormat="1" applyFont="1" applyFill="1" applyBorder="1" applyAlignment="1" applyProtection="1">
      <alignment horizontal="left" vertical="center" wrapText="1"/>
      <protection/>
    </xf>
    <xf numFmtId="0" fontId="8" fillId="35" borderId="56" xfId="0" applyNumberFormat="1" applyFont="1" applyFill="1" applyBorder="1" applyAlignment="1" applyProtection="1">
      <alignment horizontal="left" vertical="center" wrapText="1"/>
      <protection/>
    </xf>
    <xf numFmtId="3" fontId="8" fillId="35" borderId="27" xfId="0" applyNumberFormat="1" applyFont="1" applyFill="1" applyBorder="1" applyAlignment="1">
      <alignment horizontal="right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35" borderId="71" xfId="0" applyNumberFormat="1" applyFont="1" applyFill="1" applyBorder="1" applyAlignment="1">
      <alignment horizontal="right" vertical="center"/>
    </xf>
    <xf numFmtId="3" fontId="8" fillId="35" borderId="56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3" fontId="8" fillId="0" borderId="81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3" fontId="8" fillId="0" borderId="19" xfId="0" applyNumberFormat="1" applyFont="1" applyFill="1" applyBorder="1" applyAlignment="1">
      <alignment horizontal="center" wrapText="1"/>
    </xf>
    <xf numFmtId="0" fontId="8" fillId="0" borderId="7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3" fontId="8" fillId="0" borderId="29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wrapText="1"/>
    </xf>
    <xf numFmtId="3" fontId="0" fillId="0" borderId="82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0" fontId="0" fillId="0" borderId="73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73" xfId="0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71" xfId="0" applyNumberFormat="1" applyFont="1" applyFill="1" applyBorder="1" applyAlignment="1" applyProtection="1">
      <alignment horizontal="left" vertical="center" wrapText="1"/>
      <protection/>
    </xf>
    <xf numFmtId="0" fontId="8" fillId="0" borderId="56" xfId="0" applyNumberFormat="1" applyFont="1" applyFill="1" applyBorder="1" applyAlignment="1" applyProtection="1">
      <alignment horizontal="left" vertical="center" wrapText="1"/>
      <protection/>
    </xf>
    <xf numFmtId="3" fontId="8" fillId="0" borderId="27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71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right"/>
    </xf>
    <xf numFmtId="4" fontId="0" fillId="0" borderId="68" xfId="0" applyNumberFormat="1" applyFont="1" applyFill="1" applyBorder="1" applyAlignment="1">
      <alignment horizontal="center" wrapText="1"/>
    </xf>
    <xf numFmtId="4" fontId="7" fillId="0" borderId="82" xfId="0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7" fillId="0" borderId="48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8" fillId="35" borderId="16" xfId="0" applyNumberFormat="1" applyFont="1" applyFill="1" applyBorder="1" applyAlignment="1">
      <alignment/>
    </xf>
    <xf numFmtId="4" fontId="8" fillId="35" borderId="17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2" xfId="0" applyNumberFormat="1" applyFont="1" applyFill="1" applyBorder="1" applyAlignment="1">
      <alignment horizontal="center" vertical="top" wrapText="1"/>
    </xf>
    <xf numFmtId="4" fontId="8" fillId="35" borderId="28" xfId="0" applyNumberFormat="1" applyFont="1" applyFill="1" applyBorder="1" applyAlignment="1">
      <alignment/>
    </xf>
    <xf numFmtId="4" fontId="8" fillId="35" borderId="22" xfId="0" applyNumberFormat="1" applyFont="1" applyFill="1" applyBorder="1" applyAlignment="1">
      <alignment/>
    </xf>
    <xf numFmtId="4" fontId="8" fillId="0" borderId="71" xfId="0" applyNumberFormat="1" applyFont="1" applyFill="1" applyBorder="1" applyAlignment="1">
      <alignment horizontal="right" vertical="center"/>
    </xf>
    <xf numFmtId="4" fontId="8" fillId="0" borderId="56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68" xfId="0" applyNumberFormat="1" applyFont="1" applyFill="1" applyBorder="1" applyAlignment="1">
      <alignment horizontal="center" wrapText="1"/>
    </xf>
    <xf numFmtId="4" fontId="8" fillId="0" borderId="81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40" xfId="0" applyNumberFormat="1" applyFont="1" applyFill="1" applyBorder="1" applyAlignment="1">
      <alignment horizontal="center" wrapText="1"/>
    </xf>
    <xf numFmtId="4" fontId="8" fillId="0" borderId="50" xfId="0" applyNumberFormat="1" applyFont="1" applyFill="1" applyBorder="1" applyAlignment="1">
      <alignment horizontal="center" wrapText="1"/>
    </xf>
    <xf numFmtId="4" fontId="8" fillId="0" borderId="73" xfId="0" applyNumberFormat="1" applyFont="1" applyFill="1" applyBorder="1" applyAlignment="1">
      <alignment horizontal="center" wrapText="1"/>
    </xf>
    <xf numFmtId="4" fontId="8" fillId="0" borderId="39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43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8" fillId="0" borderId="64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4" fontId="8" fillId="35" borderId="37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/>
    </xf>
    <xf numFmtId="4" fontId="8" fillId="35" borderId="29" xfId="0" applyNumberFormat="1" applyFont="1" applyFill="1" applyBorder="1" applyAlignment="1">
      <alignment/>
    </xf>
    <xf numFmtId="4" fontId="8" fillId="35" borderId="29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 horizontal="center" wrapText="1"/>
    </xf>
    <xf numFmtId="4" fontId="8" fillId="0" borderId="29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4" fontId="8" fillId="0" borderId="45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17" fillId="0" borderId="27" xfId="0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31" xfId="0" applyNumberFormat="1" applyFont="1" applyFill="1" applyBorder="1" applyAlignment="1">
      <alignment/>
    </xf>
    <xf numFmtId="4" fontId="17" fillId="0" borderId="35" xfId="0" applyNumberFormat="1" applyFont="1" applyFill="1" applyBorder="1" applyAlignment="1">
      <alignment/>
    </xf>
    <xf numFmtId="4" fontId="4" fillId="0" borderId="53" xfId="0" applyNumberFormat="1" applyFont="1" applyFill="1" applyBorder="1" applyAlignment="1">
      <alignment/>
    </xf>
    <xf numFmtId="4" fontId="4" fillId="0" borderId="62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8" fillId="0" borderId="75" xfId="0" applyNumberFormat="1" applyFont="1" applyFill="1" applyBorder="1" applyAlignment="1">
      <alignment/>
    </xf>
    <xf numFmtId="4" fontId="4" fillId="0" borderId="53" xfId="0" applyNumberFormat="1" applyFont="1" applyFill="1" applyBorder="1" applyAlignment="1">
      <alignment horizontal="right" wrapText="1"/>
    </xf>
    <xf numFmtId="4" fontId="4" fillId="0" borderId="39" xfId="0" applyNumberFormat="1" applyFont="1" applyFill="1" applyBorder="1" applyAlignment="1">
      <alignment horizontal="right" wrapText="1"/>
    </xf>
    <xf numFmtId="4" fontId="8" fillId="0" borderId="56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4" fontId="17" fillId="0" borderId="34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 vertical="center"/>
    </xf>
    <xf numFmtId="4" fontId="8" fillId="35" borderId="59" xfId="0" applyNumberFormat="1" applyFont="1" applyFill="1" applyBorder="1" applyAlignment="1">
      <alignment vertical="center"/>
    </xf>
    <xf numFmtId="4" fontId="8" fillId="35" borderId="46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4" fontId="0" fillId="0" borderId="82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0" borderId="66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 wrapText="1"/>
    </xf>
    <xf numFmtId="4" fontId="0" fillId="0" borderId="40" xfId="0" applyNumberFormat="1" applyFont="1" applyFill="1" applyBorder="1" applyAlignment="1">
      <alignment horizontal="center" wrapText="1"/>
    </xf>
    <xf numFmtId="4" fontId="0" fillId="0" borderId="75" xfId="0" applyNumberFormat="1" applyFont="1" applyFill="1" applyBorder="1" applyAlignment="1">
      <alignment horizontal="center" wrapText="1"/>
    </xf>
    <xf numFmtId="4" fontId="0" fillId="0" borderId="73" xfId="0" applyNumberFormat="1" applyFont="1" applyFill="1" applyBorder="1" applyAlignment="1">
      <alignment horizontal="center" wrapText="1"/>
    </xf>
    <xf numFmtId="4" fontId="17" fillId="0" borderId="56" xfId="0" applyNumberFormat="1" applyFont="1" applyFill="1" applyBorder="1" applyAlignment="1">
      <alignment/>
    </xf>
    <xf numFmtId="4" fontId="17" fillId="0" borderId="57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63" xfId="0" applyNumberFormat="1" applyFont="1" applyFill="1" applyBorder="1" applyAlignment="1">
      <alignment/>
    </xf>
    <xf numFmtId="4" fontId="8" fillId="0" borderId="64" xfId="0" applyNumberFormat="1" applyFont="1" applyFill="1" applyBorder="1" applyAlignment="1">
      <alignment horizontal="right"/>
    </xf>
    <xf numFmtId="4" fontId="8" fillId="0" borderId="66" xfId="0" applyNumberFormat="1" applyFont="1" applyFill="1" applyBorder="1" applyAlignment="1">
      <alignment horizontal="right"/>
    </xf>
    <xf numFmtId="4" fontId="17" fillId="0" borderId="64" xfId="0" applyNumberFormat="1" applyFont="1" applyFill="1" applyBorder="1" applyAlignment="1">
      <alignment/>
    </xf>
    <xf numFmtId="4" fontId="17" fillId="0" borderId="45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 horizontal="right"/>
    </xf>
    <xf numFmtId="4" fontId="8" fillId="0" borderId="57" xfId="0" applyNumberFormat="1" applyFont="1" applyFill="1" applyBorder="1" applyAlignment="1">
      <alignment horizontal="right"/>
    </xf>
    <xf numFmtId="4" fontId="8" fillId="35" borderId="57" xfId="0" applyNumberFormat="1" applyFont="1" applyFill="1" applyBorder="1" applyAlignment="1">
      <alignment/>
    </xf>
    <xf numFmtId="4" fontId="8" fillId="35" borderId="57" xfId="0" applyNumberFormat="1" applyFont="1" applyFill="1" applyBorder="1" applyAlignment="1">
      <alignment horizontal="right"/>
    </xf>
    <xf numFmtId="4" fontId="8" fillId="0" borderId="77" xfId="0" applyNumberFormat="1" applyFont="1" applyFill="1" applyBorder="1" applyAlignment="1">
      <alignment/>
    </xf>
    <xf numFmtId="4" fontId="8" fillId="0" borderId="77" xfId="0" applyNumberFormat="1" applyFont="1" applyFill="1" applyBorder="1" applyAlignment="1">
      <alignment horizontal="right"/>
    </xf>
    <xf numFmtId="4" fontId="7" fillId="0" borderId="50" xfId="0" applyNumberFormat="1" applyFont="1" applyFill="1" applyBorder="1" applyAlignment="1">
      <alignment horizontal="center" wrapText="1"/>
    </xf>
    <xf numFmtId="4" fontId="7" fillId="0" borderId="73" xfId="0" applyNumberFormat="1" applyFont="1" applyFill="1" applyBorder="1" applyAlignment="1">
      <alignment horizontal="center" wrapText="1"/>
    </xf>
    <xf numFmtId="4" fontId="4" fillId="0" borderId="65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64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7" fillId="0" borderId="68" xfId="0" applyNumberFormat="1" applyFont="1" applyFill="1" applyBorder="1" applyAlignment="1">
      <alignment horizontal="center" wrapText="1"/>
    </xf>
    <xf numFmtId="4" fontId="7" fillId="0" borderId="30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25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8" fillId="35" borderId="45" xfId="0" applyNumberFormat="1" applyFont="1" applyFill="1" applyBorder="1" applyAlignment="1">
      <alignment/>
    </xf>
    <xf numFmtId="4" fontId="8" fillId="35" borderId="45" xfId="0" applyNumberFormat="1" applyFont="1" applyFill="1" applyBorder="1" applyAlignment="1">
      <alignment/>
    </xf>
    <xf numFmtId="4" fontId="8" fillId="35" borderId="46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73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omkow\Desktop\BUD&#379;ET%20%20ZMIANY%202017\Uchwala%20nr%20VLVIII_285_2017%20na%2020.09.2017\A_zal%20nr%204%20-%20%20majatkowe%20-%2020.09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.07"/>
      <sheetName val="23.08"/>
      <sheetName val="25.08"/>
      <sheetName val="31.08"/>
      <sheetName val="12.09"/>
      <sheetName val="19.09 "/>
      <sheetName val="20.09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zoomScalePageLayoutView="0" workbookViewId="0" topLeftCell="A141">
      <selection activeCell="A51" sqref="A51"/>
    </sheetView>
  </sheetViews>
  <sheetFormatPr defaultColWidth="9.00390625" defaultRowHeight="12.75"/>
  <cols>
    <col min="1" max="1" width="40.00390625" style="189" customWidth="1"/>
    <col min="2" max="2" width="104.00390625" style="189" customWidth="1"/>
    <col min="3" max="3" width="9.25390625" style="191" hidden="1" customWidth="1"/>
    <col min="4" max="4" width="1.25" style="192" hidden="1" customWidth="1"/>
    <col min="5" max="5" width="14.375" style="192" customWidth="1"/>
    <col min="6" max="6" width="14.625" style="191" customWidth="1"/>
    <col min="7" max="7" width="13.00390625" style="191" customWidth="1"/>
    <col min="8" max="8" width="11.75390625" style="194" customWidth="1"/>
    <col min="9" max="9" width="9.125" style="192" customWidth="1"/>
    <col min="10" max="10" width="11.375" style="192" customWidth="1"/>
    <col min="11" max="16384" width="9.125" style="192" customWidth="1"/>
  </cols>
  <sheetData>
    <row r="1" spans="2:7" ht="22.5" customHeight="1">
      <c r="B1" s="190" t="s">
        <v>25</v>
      </c>
      <c r="G1" s="193" t="s">
        <v>183</v>
      </c>
    </row>
    <row r="2" spans="1:7" ht="18">
      <c r="A2" s="284"/>
      <c r="B2" s="190" t="s">
        <v>167</v>
      </c>
      <c r="E2" s="762" t="s">
        <v>185</v>
      </c>
      <c r="F2" s="762"/>
      <c r="G2" s="762"/>
    </row>
    <row r="3" spans="2:7" ht="3.75" customHeight="1" thickBot="1">
      <c r="B3" s="195"/>
      <c r="G3" s="196"/>
    </row>
    <row r="4" spans="1:8" s="200" customFormat="1" ht="12.75">
      <c r="A4" s="707" t="s">
        <v>6</v>
      </c>
      <c r="B4" s="709" t="s">
        <v>7</v>
      </c>
      <c r="C4" s="197" t="s">
        <v>18</v>
      </c>
      <c r="D4" s="198" t="s">
        <v>8</v>
      </c>
      <c r="E4" s="758" t="s">
        <v>166</v>
      </c>
      <c r="F4" s="714" t="s">
        <v>19</v>
      </c>
      <c r="G4" s="715"/>
      <c r="H4" s="199"/>
    </row>
    <row r="5" spans="1:8" s="200" customFormat="1" ht="12.75">
      <c r="A5" s="708"/>
      <c r="B5" s="710"/>
      <c r="C5" s="201" t="s">
        <v>0</v>
      </c>
      <c r="D5" s="202" t="s">
        <v>14</v>
      </c>
      <c r="E5" s="759"/>
      <c r="F5" s="716" t="s">
        <v>54</v>
      </c>
      <c r="G5" s="718" t="s">
        <v>55</v>
      </c>
      <c r="H5" s="199"/>
    </row>
    <row r="6" spans="1:8" s="200" customFormat="1" ht="9.75" customHeight="1" thickBot="1">
      <c r="A6" s="708"/>
      <c r="B6" s="710"/>
      <c r="C6" s="201"/>
      <c r="D6" s="202" t="s">
        <v>15</v>
      </c>
      <c r="E6" s="759"/>
      <c r="F6" s="760"/>
      <c r="G6" s="761"/>
      <c r="H6" s="199"/>
    </row>
    <row r="7" spans="1:8" s="207" customFormat="1" ht="15.75" customHeight="1" thickBot="1">
      <c r="A7" s="186" t="s">
        <v>10</v>
      </c>
      <c r="B7" s="203"/>
      <c r="C7" s="204">
        <v>900100</v>
      </c>
      <c r="D7" s="205">
        <v>160900</v>
      </c>
      <c r="E7" s="206">
        <f>SUM(E8:E47)</f>
        <v>652610</v>
      </c>
      <c r="F7" s="206">
        <f>SUM(F8:F47)</f>
        <v>352610</v>
      </c>
      <c r="G7" s="206">
        <f>SUM(G8:G46)</f>
        <v>300000</v>
      </c>
      <c r="H7" s="199"/>
    </row>
    <row r="8" spans="1:8" s="200" customFormat="1" ht="27.75" customHeight="1">
      <c r="A8" s="208" t="s">
        <v>42</v>
      </c>
      <c r="B8" s="4" t="s">
        <v>163</v>
      </c>
      <c r="C8" s="5">
        <v>1240000</v>
      </c>
      <c r="D8" s="6">
        <v>110000</v>
      </c>
      <c r="E8" s="7">
        <f>SUM(F8:G8)</f>
        <v>24100</v>
      </c>
      <c r="F8" s="8">
        <f>22800+1300</f>
        <v>24100</v>
      </c>
      <c r="G8" s="8">
        <v>0</v>
      </c>
      <c r="H8" s="199"/>
    </row>
    <row r="9" spans="1:8" s="200" customFormat="1" ht="18.75" customHeight="1">
      <c r="A9" s="209"/>
      <c r="B9" s="9" t="s">
        <v>164</v>
      </c>
      <c r="C9" s="5"/>
      <c r="D9" s="10"/>
      <c r="E9" s="7">
        <f>SUM(F9:G9)</f>
        <v>3500</v>
      </c>
      <c r="F9" s="5">
        <f>3100+400</f>
        <v>3500</v>
      </c>
      <c r="G9" s="8">
        <v>0</v>
      </c>
      <c r="H9" s="199"/>
    </row>
    <row r="10" spans="1:8" s="200" customFormat="1" ht="13.5" customHeight="1" hidden="1">
      <c r="A10" s="209"/>
      <c r="B10" s="740" t="s">
        <v>46</v>
      </c>
      <c r="C10" s="11"/>
      <c r="D10" s="12"/>
      <c r="E10" s="743">
        <f>SUM(G10+G12+F10)</f>
        <v>0</v>
      </c>
      <c r="F10" s="763">
        <v>0</v>
      </c>
      <c r="G10" s="13">
        <v>0</v>
      </c>
      <c r="H10" s="199"/>
    </row>
    <row r="11" spans="1:8" s="200" customFormat="1" ht="14.25" customHeight="1" hidden="1">
      <c r="A11" s="210"/>
      <c r="B11" s="741"/>
      <c r="C11" s="14"/>
      <c r="D11" s="14"/>
      <c r="E11" s="744"/>
      <c r="F11" s="764"/>
      <c r="G11" s="15" t="s">
        <v>53</v>
      </c>
      <c r="H11" s="199"/>
    </row>
    <row r="12" spans="1:8" s="200" customFormat="1" ht="11.25" customHeight="1" hidden="1">
      <c r="A12" s="210"/>
      <c r="B12" s="741"/>
      <c r="C12" s="14"/>
      <c r="D12" s="14"/>
      <c r="E12" s="744"/>
      <c r="F12" s="764"/>
      <c r="G12" s="16">
        <v>0</v>
      </c>
      <c r="H12" s="199"/>
    </row>
    <row r="13" spans="1:8" s="200" customFormat="1" ht="24.75" customHeight="1" hidden="1">
      <c r="A13" s="210"/>
      <c r="B13" s="742"/>
      <c r="C13" s="17"/>
      <c r="D13" s="17"/>
      <c r="E13" s="745"/>
      <c r="F13" s="765"/>
      <c r="G13" s="18" t="s">
        <v>56</v>
      </c>
      <c r="H13" s="199"/>
    </row>
    <row r="14" spans="1:8" s="200" customFormat="1" ht="20.25" customHeight="1">
      <c r="A14" s="211"/>
      <c r="B14" s="9" t="s">
        <v>126</v>
      </c>
      <c r="C14" s="5"/>
      <c r="D14" s="10"/>
      <c r="E14" s="7">
        <f>SUM(F14:G14)</f>
        <v>65000</v>
      </c>
      <c r="F14" s="8">
        <v>65000</v>
      </c>
      <c r="G14" s="19">
        <v>0</v>
      </c>
      <c r="H14" s="199"/>
    </row>
    <row r="15" spans="1:8" s="200" customFormat="1" ht="20.25" customHeight="1">
      <c r="A15" s="211"/>
      <c r="B15" s="9" t="s">
        <v>127</v>
      </c>
      <c r="C15" s="5"/>
      <c r="D15" s="6"/>
      <c r="E15" s="7">
        <f>SUM(F15:G15)</f>
        <v>396600</v>
      </c>
      <c r="F15" s="8">
        <f>100000-1700-1700</f>
        <v>96600</v>
      </c>
      <c r="G15" s="8">
        <v>300000</v>
      </c>
      <c r="H15" s="199"/>
    </row>
    <row r="16" spans="1:8" s="200" customFormat="1" ht="16.5" customHeight="1" hidden="1">
      <c r="A16" s="211"/>
      <c r="B16" s="4" t="s">
        <v>79</v>
      </c>
      <c r="C16" s="5"/>
      <c r="D16" s="10"/>
      <c r="E16" s="7">
        <f>SUM(F16:G16)</f>
        <v>0</v>
      </c>
      <c r="F16" s="8">
        <v>0</v>
      </c>
      <c r="G16" s="8">
        <v>0</v>
      </c>
      <c r="H16" s="199"/>
    </row>
    <row r="17" spans="1:8" s="200" customFormat="1" ht="11.25" customHeight="1" hidden="1">
      <c r="A17" s="211"/>
      <c r="B17" s="736" t="s">
        <v>80</v>
      </c>
      <c r="C17" s="5"/>
      <c r="D17" s="10"/>
      <c r="E17" s="738">
        <f>SUM(F17:G17)</f>
        <v>0</v>
      </c>
      <c r="F17" s="766">
        <v>0</v>
      </c>
      <c r="G17" s="13">
        <v>0</v>
      </c>
      <c r="H17" s="199"/>
    </row>
    <row r="18" spans="1:8" s="200" customFormat="1" ht="10.5" customHeight="1" hidden="1">
      <c r="A18" s="211"/>
      <c r="B18" s="737"/>
      <c r="C18" s="5"/>
      <c r="D18" s="10"/>
      <c r="E18" s="739"/>
      <c r="F18" s="767"/>
      <c r="G18" s="18"/>
      <c r="H18" s="199"/>
    </row>
    <row r="19" spans="1:8" s="200" customFormat="1" ht="16.5" customHeight="1" hidden="1">
      <c r="A19" s="211"/>
      <c r="B19" s="20" t="s">
        <v>74</v>
      </c>
      <c r="C19" s="5"/>
      <c r="D19" s="10"/>
      <c r="E19" s="7">
        <f>SUM(F19:G19)</f>
        <v>0</v>
      </c>
      <c r="F19" s="8">
        <v>0</v>
      </c>
      <c r="G19" s="19">
        <v>0</v>
      </c>
      <c r="H19" s="199"/>
    </row>
    <row r="20" spans="1:8" s="200" customFormat="1" ht="14.25" customHeight="1" hidden="1">
      <c r="A20" s="212"/>
      <c r="B20" s="21" t="s">
        <v>75</v>
      </c>
      <c r="C20" s="5"/>
      <c r="D20" s="10"/>
      <c r="E20" s="7">
        <f aca="true" t="shared" si="0" ref="E20:E25">SUM(F20:G20)</f>
        <v>0</v>
      </c>
      <c r="F20" s="8">
        <v>0</v>
      </c>
      <c r="G20" s="8">
        <v>0</v>
      </c>
      <c r="H20" s="199"/>
    </row>
    <row r="21" spans="1:8" s="200" customFormat="1" ht="16.5" customHeight="1" hidden="1">
      <c r="A21" s="212"/>
      <c r="B21" s="253" t="s">
        <v>81</v>
      </c>
      <c r="C21" s="5">
        <v>30000</v>
      </c>
      <c r="D21" s="6">
        <v>30000</v>
      </c>
      <c r="E21" s="7">
        <f t="shared" si="0"/>
        <v>0</v>
      </c>
      <c r="F21" s="8">
        <v>0</v>
      </c>
      <c r="G21" s="8">
        <v>0</v>
      </c>
      <c r="H21" s="199"/>
    </row>
    <row r="22" spans="1:8" s="200" customFormat="1" ht="19.5" customHeight="1" hidden="1">
      <c r="A22" s="212"/>
      <c r="B22" s="22" t="s">
        <v>104</v>
      </c>
      <c r="C22" s="5">
        <v>83000</v>
      </c>
      <c r="D22" s="6">
        <v>83000</v>
      </c>
      <c r="E22" s="7">
        <f t="shared" si="0"/>
        <v>0</v>
      </c>
      <c r="F22" s="8">
        <v>0</v>
      </c>
      <c r="G22" s="8">
        <v>0</v>
      </c>
      <c r="H22" s="199"/>
    </row>
    <row r="23" spans="1:8" s="200" customFormat="1" ht="16.5" customHeight="1" hidden="1">
      <c r="A23" s="212"/>
      <c r="B23" s="22" t="s">
        <v>76</v>
      </c>
      <c r="C23" s="5"/>
      <c r="D23" s="6"/>
      <c r="E23" s="7">
        <f t="shared" si="0"/>
        <v>0</v>
      </c>
      <c r="F23" s="5">
        <v>0</v>
      </c>
      <c r="G23" s="8">
        <v>0</v>
      </c>
      <c r="H23" s="199"/>
    </row>
    <row r="24" spans="1:8" s="200" customFormat="1" ht="16.5" customHeight="1" hidden="1">
      <c r="A24" s="212"/>
      <c r="B24" s="254" t="s">
        <v>77</v>
      </c>
      <c r="C24" s="23"/>
      <c r="D24" s="24"/>
      <c r="E24" s="7">
        <f t="shared" si="0"/>
        <v>0</v>
      </c>
      <c r="F24" s="23">
        <v>0</v>
      </c>
      <c r="G24" s="13">
        <v>0</v>
      </c>
      <c r="H24" s="199"/>
    </row>
    <row r="25" spans="1:8" s="200" customFormat="1" ht="15" hidden="1">
      <c r="A25" s="212"/>
      <c r="B25" s="22" t="s">
        <v>82</v>
      </c>
      <c r="C25" s="5"/>
      <c r="D25" s="6"/>
      <c r="E25" s="7">
        <f t="shared" si="0"/>
        <v>0</v>
      </c>
      <c r="F25" s="5">
        <v>0</v>
      </c>
      <c r="G25" s="8">
        <v>0</v>
      </c>
      <c r="H25" s="199"/>
    </row>
    <row r="26" spans="1:8" s="200" customFormat="1" ht="27.75" customHeight="1" hidden="1">
      <c r="A26" s="212"/>
      <c r="B26" s="22" t="s">
        <v>50</v>
      </c>
      <c r="C26" s="25">
        <v>1000</v>
      </c>
      <c r="D26" s="26">
        <v>1000</v>
      </c>
      <c r="E26" s="27">
        <f>SUM(F26:G26)</f>
        <v>0</v>
      </c>
      <c r="F26" s="25">
        <v>0</v>
      </c>
      <c r="G26" s="19"/>
      <c r="H26" s="199"/>
    </row>
    <row r="27" spans="1:8" s="200" customFormat="1" ht="16.5" customHeight="1" hidden="1">
      <c r="A27" s="212"/>
      <c r="B27" s="22" t="s">
        <v>78</v>
      </c>
      <c r="C27" s="5"/>
      <c r="D27" s="6"/>
      <c r="E27" s="7">
        <f>SUM(F27:G27)</f>
        <v>0</v>
      </c>
      <c r="F27" s="5">
        <v>0</v>
      </c>
      <c r="G27" s="8">
        <v>0</v>
      </c>
      <c r="H27" s="199"/>
    </row>
    <row r="28" spans="1:7" ht="15.75" customHeight="1" hidden="1">
      <c r="A28" s="212"/>
      <c r="B28" s="28" t="s">
        <v>45</v>
      </c>
      <c r="C28" s="23"/>
      <c r="D28" s="24"/>
      <c r="E28" s="29">
        <f>SUM(F28:G28)</f>
        <v>0</v>
      </c>
      <c r="F28" s="23">
        <v>0</v>
      </c>
      <c r="G28" s="13">
        <v>0</v>
      </c>
    </row>
    <row r="29" spans="1:7" ht="20.25" customHeight="1">
      <c r="A29" s="212"/>
      <c r="B29" s="30" t="s">
        <v>57</v>
      </c>
      <c r="C29" s="31"/>
      <c r="D29" s="31"/>
      <c r="E29" s="32">
        <f>SUM(F29:G29)</f>
        <v>48454</v>
      </c>
      <c r="F29" s="31">
        <f>50000-1546</f>
        <v>48454</v>
      </c>
      <c r="G29" s="8">
        <v>0</v>
      </c>
    </row>
    <row r="30" spans="1:7" ht="15" hidden="1">
      <c r="A30" s="212"/>
      <c r="B30" s="33"/>
      <c r="C30" s="34"/>
      <c r="D30" s="34"/>
      <c r="E30" s="35"/>
      <c r="F30" s="34"/>
      <c r="G30" s="36"/>
    </row>
    <row r="31" spans="1:7" ht="18" customHeight="1" hidden="1">
      <c r="A31" s="212"/>
      <c r="B31" s="33"/>
      <c r="C31" s="34"/>
      <c r="D31" s="34"/>
      <c r="E31" s="35"/>
      <c r="F31" s="34"/>
      <c r="G31" s="36"/>
    </row>
    <row r="32" spans="1:7" ht="15" hidden="1">
      <c r="A32" s="212"/>
      <c r="B32" s="33"/>
      <c r="C32" s="34"/>
      <c r="D32" s="34"/>
      <c r="E32" s="35"/>
      <c r="F32" s="34"/>
      <c r="G32" s="36"/>
    </row>
    <row r="33" spans="1:7" ht="12.75" customHeight="1" hidden="1">
      <c r="A33" s="747" t="s">
        <v>6</v>
      </c>
      <c r="B33" s="707" t="s">
        <v>7</v>
      </c>
      <c r="C33" s="37" t="s">
        <v>18</v>
      </c>
      <c r="D33" s="38" t="s">
        <v>8</v>
      </c>
      <c r="E33" s="733" t="s">
        <v>5</v>
      </c>
      <c r="F33" s="703" t="s">
        <v>19</v>
      </c>
      <c r="G33" s="704"/>
    </row>
    <row r="34" spans="1:7" ht="15.75" hidden="1">
      <c r="A34" s="748"/>
      <c r="B34" s="749"/>
      <c r="C34" s="39" t="s">
        <v>0</v>
      </c>
      <c r="D34" s="40" t="s">
        <v>14</v>
      </c>
      <c r="E34" s="734"/>
      <c r="F34" s="705" t="s">
        <v>13</v>
      </c>
      <c r="G34" s="720" t="s">
        <v>20</v>
      </c>
    </row>
    <row r="35" spans="1:7" ht="16.5" hidden="1" thickBot="1">
      <c r="A35" s="748"/>
      <c r="B35" s="750"/>
      <c r="C35" s="41"/>
      <c r="D35" s="42" t="s">
        <v>15</v>
      </c>
      <c r="E35" s="735"/>
      <c r="F35" s="706"/>
      <c r="G35" s="721"/>
    </row>
    <row r="36" spans="1:7" ht="15">
      <c r="A36" s="281"/>
      <c r="B36" s="43" t="s">
        <v>128</v>
      </c>
      <c r="C36" s="5"/>
      <c r="D36" s="6"/>
      <c r="E36" s="7">
        <f>SUM(F36:G36)</f>
        <v>66900</v>
      </c>
      <c r="F36" s="5">
        <v>66900</v>
      </c>
      <c r="G36" s="8">
        <v>0</v>
      </c>
    </row>
    <row r="37" spans="1:7" ht="19.5" customHeight="1">
      <c r="A37" s="212"/>
      <c r="B37" s="43" t="s">
        <v>175</v>
      </c>
      <c r="C37" s="5"/>
      <c r="D37" s="6"/>
      <c r="E37" s="7">
        <f aca="true" t="shared" si="1" ref="E37:E42">SUM(F37:G37)</f>
        <v>14056</v>
      </c>
      <c r="F37" s="5">
        <f>12510+1546</f>
        <v>14056</v>
      </c>
      <c r="G37" s="8">
        <v>0</v>
      </c>
    </row>
    <row r="38" spans="1:7" ht="15" customHeight="1" hidden="1">
      <c r="A38" s="212"/>
      <c r="B38" s="43" t="s">
        <v>83</v>
      </c>
      <c r="C38" s="5"/>
      <c r="D38" s="6"/>
      <c r="E38" s="7">
        <f t="shared" si="1"/>
        <v>0</v>
      </c>
      <c r="F38" s="5">
        <v>0</v>
      </c>
      <c r="G38" s="8">
        <v>0</v>
      </c>
    </row>
    <row r="39" spans="1:7" ht="15" customHeight="1" hidden="1">
      <c r="A39" s="212"/>
      <c r="B39" s="44" t="s">
        <v>84</v>
      </c>
      <c r="C39" s="5"/>
      <c r="D39" s="6"/>
      <c r="E39" s="7">
        <f t="shared" si="1"/>
        <v>0</v>
      </c>
      <c r="F39" s="5">
        <v>0</v>
      </c>
      <c r="G39" s="8"/>
    </row>
    <row r="40" spans="1:7" ht="15.75" customHeight="1" hidden="1" thickBot="1">
      <c r="A40" s="213"/>
      <c r="B40" s="258" t="s">
        <v>98</v>
      </c>
      <c r="C40" s="5">
        <v>44900</v>
      </c>
      <c r="D40" s="6">
        <v>44900</v>
      </c>
      <c r="E40" s="7">
        <f t="shared" si="1"/>
        <v>0</v>
      </c>
      <c r="F40" s="5">
        <v>0</v>
      </c>
      <c r="G40" s="8">
        <v>0</v>
      </c>
    </row>
    <row r="41" spans="1:7" ht="13.5" customHeight="1" hidden="1">
      <c r="A41" s="211"/>
      <c r="B41" s="45" t="s">
        <v>1</v>
      </c>
      <c r="C41" s="5"/>
      <c r="D41" s="6"/>
      <c r="E41" s="7">
        <f t="shared" si="1"/>
        <v>0</v>
      </c>
      <c r="F41" s="5">
        <v>0</v>
      </c>
      <c r="G41" s="8">
        <v>0</v>
      </c>
    </row>
    <row r="42" spans="1:7" ht="13.5" customHeight="1" hidden="1" thickBot="1">
      <c r="A42" s="214"/>
      <c r="B42" s="46" t="s">
        <v>2</v>
      </c>
      <c r="C42" s="5"/>
      <c r="D42" s="6"/>
      <c r="E42" s="29">
        <f t="shared" si="1"/>
        <v>0</v>
      </c>
      <c r="F42" s="23">
        <v>0</v>
      </c>
      <c r="G42" s="13"/>
    </row>
    <row r="43" spans="1:8" ht="15" customHeight="1" hidden="1" thickBot="1">
      <c r="A43" s="215" t="s">
        <v>43</v>
      </c>
      <c r="B43" s="170" t="s">
        <v>71</v>
      </c>
      <c r="C43" s="34"/>
      <c r="D43" s="47"/>
      <c r="E43" s="7">
        <f>SUM(F43:G43)</f>
        <v>0</v>
      </c>
      <c r="F43" s="5">
        <v>0</v>
      </c>
      <c r="G43" s="48">
        <v>0</v>
      </c>
      <c r="H43" s="194" t="s">
        <v>72</v>
      </c>
    </row>
    <row r="44" spans="1:7" ht="16.5" customHeight="1" hidden="1">
      <c r="A44" s="211"/>
      <c r="B44" s="49"/>
      <c r="C44" s="34"/>
      <c r="D44" s="47"/>
      <c r="E44" s="47"/>
      <c r="F44" s="34"/>
      <c r="G44" s="36"/>
    </row>
    <row r="45" spans="1:7" ht="15.75" customHeight="1" hidden="1" thickBot="1">
      <c r="A45" s="216"/>
      <c r="B45" s="50" t="s">
        <v>51</v>
      </c>
      <c r="C45" s="34"/>
      <c r="D45" s="47"/>
      <c r="E45" s="51">
        <f>SUM(F45:G45)</f>
        <v>0</v>
      </c>
      <c r="F45" s="52">
        <v>0</v>
      </c>
      <c r="G45" s="53">
        <v>0</v>
      </c>
    </row>
    <row r="46" spans="1:7" ht="15.75" customHeight="1" hidden="1" thickBot="1">
      <c r="A46" s="216"/>
      <c r="B46" s="50" t="s">
        <v>52</v>
      </c>
      <c r="C46" s="34"/>
      <c r="D46" s="47"/>
      <c r="E46" s="51">
        <f>SUM(F46:G46)</f>
        <v>0</v>
      </c>
      <c r="F46" s="52">
        <v>0</v>
      </c>
      <c r="G46" s="53">
        <v>0</v>
      </c>
    </row>
    <row r="47" spans="1:7" ht="15.75" thickBot="1">
      <c r="A47" s="216"/>
      <c r="B47" s="256" t="s">
        <v>176</v>
      </c>
      <c r="C47" s="34"/>
      <c r="D47" s="47"/>
      <c r="E47" s="7">
        <f>SUM(F47:G47)</f>
        <v>34000</v>
      </c>
      <c r="F47" s="5">
        <v>34000</v>
      </c>
      <c r="G47" s="8">
        <v>0</v>
      </c>
    </row>
    <row r="48" spans="1:7" ht="18" customHeight="1" thickBot="1">
      <c r="A48" s="186" t="s">
        <v>11</v>
      </c>
      <c r="B48" s="54"/>
      <c r="C48" s="55"/>
      <c r="D48" s="56"/>
      <c r="E48" s="57">
        <f>SUM(E49:E69)+E71+E76</f>
        <v>2383488</v>
      </c>
      <c r="F48" s="57">
        <f>SUM(F49:F69)+F71+F76</f>
        <v>1883488</v>
      </c>
      <c r="G48" s="57">
        <f>SUM(G49:G69)+G71+G76</f>
        <v>500000</v>
      </c>
    </row>
    <row r="49" spans="1:7" ht="32.25" customHeight="1">
      <c r="A49" s="181" t="s">
        <v>3</v>
      </c>
      <c r="B49" s="169" t="s">
        <v>114</v>
      </c>
      <c r="C49" s="25"/>
      <c r="D49" s="61"/>
      <c r="E49" s="59">
        <f aca="true" t="shared" si="2" ref="E49:E65">SUM(F49:G49)</f>
        <v>500000</v>
      </c>
      <c r="F49" s="59">
        <v>0</v>
      </c>
      <c r="G49" s="60">
        <v>500000</v>
      </c>
    </row>
    <row r="50" spans="1:7" ht="33.75" customHeight="1">
      <c r="A50" s="217"/>
      <c r="B50" s="67" t="s">
        <v>168</v>
      </c>
      <c r="C50" s="66"/>
      <c r="D50" s="66"/>
      <c r="E50" s="32">
        <f t="shared" si="2"/>
        <v>10488</v>
      </c>
      <c r="F50" s="66">
        <v>10488</v>
      </c>
      <c r="G50" s="8">
        <v>0</v>
      </c>
    </row>
    <row r="51" spans="1:7" ht="32.25" customHeight="1" thickBot="1">
      <c r="A51" s="218"/>
      <c r="B51" s="301" t="s">
        <v>184</v>
      </c>
      <c r="C51" s="100">
        <v>15000</v>
      </c>
      <c r="D51" s="101">
        <v>15000</v>
      </c>
      <c r="E51" s="124">
        <f t="shared" si="2"/>
        <v>50000</v>
      </c>
      <c r="F51" s="124">
        <v>50000</v>
      </c>
      <c r="G51" s="125">
        <v>0</v>
      </c>
    </row>
    <row r="52" spans="1:8" ht="15.75" customHeight="1">
      <c r="A52" s="219" t="s">
        <v>44</v>
      </c>
      <c r="B52" s="300" t="s">
        <v>129</v>
      </c>
      <c r="C52" s="25">
        <v>15000</v>
      </c>
      <c r="D52" s="26">
        <v>15000</v>
      </c>
      <c r="E52" s="27">
        <f t="shared" si="2"/>
        <v>50000</v>
      </c>
      <c r="F52" s="64">
        <v>50000</v>
      </c>
      <c r="G52" s="62">
        <v>0</v>
      </c>
      <c r="H52" s="220"/>
    </row>
    <row r="53" spans="1:8" ht="15" customHeight="1">
      <c r="A53" s="221"/>
      <c r="B53" s="44" t="s">
        <v>130</v>
      </c>
      <c r="C53" s="5"/>
      <c r="D53" s="6"/>
      <c r="E53" s="7">
        <f t="shared" si="2"/>
        <v>10000</v>
      </c>
      <c r="F53" s="65">
        <v>10000</v>
      </c>
      <c r="G53" s="63">
        <v>0</v>
      </c>
      <c r="H53" s="194" t="s">
        <v>131</v>
      </c>
    </row>
    <row r="54" spans="1:8" ht="16.5" customHeight="1">
      <c r="A54" s="222"/>
      <c r="B54" s="20" t="s">
        <v>132</v>
      </c>
      <c r="C54" s="5"/>
      <c r="D54" s="6"/>
      <c r="E54" s="7">
        <f t="shared" si="2"/>
        <v>40000</v>
      </c>
      <c r="F54" s="65">
        <v>40000</v>
      </c>
      <c r="G54" s="63">
        <v>0</v>
      </c>
      <c r="H54" s="194" t="s">
        <v>133</v>
      </c>
    </row>
    <row r="55" spans="1:8" ht="18" customHeight="1">
      <c r="A55" s="222"/>
      <c r="B55" s="20" t="s">
        <v>68</v>
      </c>
      <c r="C55" s="5"/>
      <c r="D55" s="6"/>
      <c r="E55" s="7">
        <f t="shared" si="2"/>
        <v>14000</v>
      </c>
      <c r="F55" s="65">
        <v>14000</v>
      </c>
      <c r="G55" s="63">
        <v>0</v>
      </c>
      <c r="H55" s="194" t="s">
        <v>134</v>
      </c>
    </row>
    <row r="56" spans="1:8" ht="16.5" customHeight="1">
      <c r="A56" s="222"/>
      <c r="B56" s="4" t="s">
        <v>149</v>
      </c>
      <c r="C56" s="66"/>
      <c r="D56" s="66"/>
      <c r="E56" s="32">
        <f t="shared" si="2"/>
        <v>66000</v>
      </c>
      <c r="F56" s="66">
        <v>66000</v>
      </c>
      <c r="G56" s="8">
        <v>0</v>
      </c>
      <c r="H56" s="194" t="s">
        <v>135</v>
      </c>
    </row>
    <row r="57" spans="1:7" ht="18" customHeight="1">
      <c r="A57" s="223"/>
      <c r="B57" s="67" t="s">
        <v>123</v>
      </c>
      <c r="C57" s="66"/>
      <c r="D57" s="66"/>
      <c r="E57" s="32">
        <f t="shared" si="2"/>
        <v>25000</v>
      </c>
      <c r="F57" s="66">
        <v>25000</v>
      </c>
      <c r="G57" s="8">
        <v>0</v>
      </c>
    </row>
    <row r="58" spans="1:7" ht="16.5" customHeight="1">
      <c r="A58" s="223"/>
      <c r="B58" s="67" t="s">
        <v>115</v>
      </c>
      <c r="C58" s="66"/>
      <c r="D58" s="66"/>
      <c r="E58" s="32">
        <f t="shared" si="2"/>
        <v>15000</v>
      </c>
      <c r="F58" s="66">
        <v>15000</v>
      </c>
      <c r="G58" s="8">
        <v>0</v>
      </c>
    </row>
    <row r="59" spans="1:7" ht="16.5" customHeight="1">
      <c r="A59" s="223"/>
      <c r="B59" s="67" t="s">
        <v>182</v>
      </c>
      <c r="C59" s="66"/>
      <c r="D59" s="66"/>
      <c r="E59" s="32">
        <f>SUM(F59:G59)</f>
        <v>381000</v>
      </c>
      <c r="F59" s="66">
        <v>381000</v>
      </c>
      <c r="G59" s="8">
        <v>0</v>
      </c>
    </row>
    <row r="60" spans="1:8" ht="16.5" customHeight="1">
      <c r="A60" s="223"/>
      <c r="B60" s="67" t="s">
        <v>124</v>
      </c>
      <c r="C60" s="66">
        <v>12500</v>
      </c>
      <c r="D60" s="66">
        <v>12500</v>
      </c>
      <c r="E60" s="32">
        <f t="shared" si="2"/>
        <v>0</v>
      </c>
      <c r="F60" s="66">
        <v>0</v>
      </c>
      <c r="G60" s="8">
        <v>0</v>
      </c>
      <c r="H60" s="194" t="s">
        <v>70</v>
      </c>
    </row>
    <row r="61" spans="1:7" ht="16.5" customHeight="1">
      <c r="A61" s="223"/>
      <c r="B61" s="67" t="s">
        <v>180</v>
      </c>
      <c r="C61" s="66"/>
      <c r="D61" s="66"/>
      <c r="E61" s="32">
        <v>3950</v>
      </c>
      <c r="F61" s="66">
        <v>3950</v>
      </c>
      <c r="G61" s="8"/>
    </row>
    <row r="62" spans="1:7" ht="16.5" customHeight="1">
      <c r="A62" s="223"/>
      <c r="B62" s="67" t="s">
        <v>181</v>
      </c>
      <c r="C62" s="66"/>
      <c r="D62" s="66"/>
      <c r="E62" s="32">
        <v>3050</v>
      </c>
      <c r="F62" s="66">
        <v>3050</v>
      </c>
      <c r="G62" s="8"/>
    </row>
    <row r="63" spans="1:7" ht="18" customHeight="1">
      <c r="A63" s="223"/>
      <c r="B63" s="67" t="s">
        <v>136</v>
      </c>
      <c r="C63" s="66">
        <v>12500</v>
      </c>
      <c r="D63" s="66">
        <v>12500</v>
      </c>
      <c r="E63" s="32">
        <f t="shared" si="2"/>
        <v>0</v>
      </c>
      <c r="F63" s="66">
        <f>105000-105000</f>
        <v>0</v>
      </c>
      <c r="G63" s="8">
        <v>0</v>
      </c>
    </row>
    <row r="64" spans="1:7" ht="17.25" customHeight="1">
      <c r="A64" s="223"/>
      <c r="B64" s="67" t="s">
        <v>170</v>
      </c>
      <c r="C64" s="66"/>
      <c r="D64" s="66"/>
      <c r="E64" s="32">
        <f t="shared" si="2"/>
        <v>350000</v>
      </c>
      <c r="F64" s="66">
        <v>350000</v>
      </c>
      <c r="G64" s="8">
        <v>0</v>
      </c>
    </row>
    <row r="65" spans="1:7" ht="16.5" customHeight="1">
      <c r="A65" s="223"/>
      <c r="B65" s="67" t="s">
        <v>171</v>
      </c>
      <c r="C65" s="66"/>
      <c r="D65" s="66"/>
      <c r="E65" s="32">
        <f t="shared" si="2"/>
        <v>0</v>
      </c>
      <c r="F65" s="66">
        <f>160000-160000</f>
        <v>0</v>
      </c>
      <c r="G65" s="8">
        <v>0</v>
      </c>
    </row>
    <row r="66" spans="1:7" ht="16.5" customHeight="1" hidden="1">
      <c r="A66" s="754" t="s">
        <v>6</v>
      </c>
      <c r="B66" s="756" t="s">
        <v>7</v>
      </c>
      <c r="C66" s="68" t="s">
        <v>18</v>
      </c>
      <c r="D66" s="68" t="s">
        <v>8</v>
      </c>
      <c r="E66" s="726" t="s">
        <v>47</v>
      </c>
      <c r="F66" s="728" t="s">
        <v>19</v>
      </c>
      <c r="G66" s="729"/>
    </row>
    <row r="67" spans="1:7" ht="16.5" customHeight="1" hidden="1">
      <c r="A67" s="748"/>
      <c r="B67" s="757"/>
      <c r="C67" s="68" t="s">
        <v>0</v>
      </c>
      <c r="D67" s="68" t="s">
        <v>14</v>
      </c>
      <c r="E67" s="727"/>
      <c r="F67" s="730" t="s">
        <v>13</v>
      </c>
      <c r="G67" s="731" t="s">
        <v>20</v>
      </c>
    </row>
    <row r="68" spans="1:7" ht="16.5" customHeight="1" hidden="1" thickBot="1">
      <c r="A68" s="755"/>
      <c r="B68" s="757"/>
      <c r="C68" s="68"/>
      <c r="D68" s="68" t="s">
        <v>15</v>
      </c>
      <c r="E68" s="727"/>
      <c r="F68" s="727"/>
      <c r="G68" s="732"/>
    </row>
    <row r="69" spans="1:7" ht="16.5" customHeight="1" hidden="1" thickBot="1">
      <c r="A69" s="281"/>
      <c r="B69" s="255" t="s">
        <v>105</v>
      </c>
      <c r="C69" s="69"/>
      <c r="D69" s="69"/>
      <c r="E69" s="70">
        <f>SUM(F69:G69)</f>
        <v>0</v>
      </c>
      <c r="F69" s="69">
        <v>0</v>
      </c>
      <c r="G69" s="176"/>
    </row>
    <row r="70" ht="19.5" customHeight="1" hidden="1" thickBot="1">
      <c r="A70" s="223"/>
    </row>
    <row r="71" spans="1:7" ht="39.75" customHeight="1" hidden="1">
      <c r="A71" s="182" t="s">
        <v>29</v>
      </c>
      <c r="B71" s="45" t="s">
        <v>34</v>
      </c>
      <c r="C71" s="72"/>
      <c r="D71" s="73"/>
      <c r="E71" s="64">
        <f>SUM(F71:G71)</f>
        <v>0</v>
      </c>
      <c r="F71" s="62">
        <f>SUM(F72:F75)</f>
        <v>0</v>
      </c>
      <c r="G71" s="62">
        <v>0</v>
      </c>
    </row>
    <row r="72" spans="1:7" ht="16.5" customHeight="1" hidden="1">
      <c r="A72" s="224"/>
      <c r="B72" s="74" t="s">
        <v>30</v>
      </c>
      <c r="C72" s="75"/>
      <c r="D72" s="76"/>
      <c r="E72" s="77"/>
      <c r="F72" s="78">
        <v>0</v>
      </c>
      <c r="G72" s="78">
        <v>0</v>
      </c>
    </row>
    <row r="73" spans="1:7" ht="16.5" customHeight="1" hidden="1">
      <c r="A73" s="208"/>
      <c r="B73" s="79" t="s">
        <v>31</v>
      </c>
      <c r="C73" s="80"/>
      <c r="D73" s="81"/>
      <c r="E73" s="82"/>
      <c r="F73" s="83">
        <v>0</v>
      </c>
      <c r="G73" s="83">
        <v>0</v>
      </c>
    </row>
    <row r="74" spans="1:7" ht="16.5" customHeight="1" hidden="1">
      <c r="A74" s="208"/>
      <c r="B74" s="79" t="s">
        <v>32</v>
      </c>
      <c r="C74" s="80"/>
      <c r="D74" s="81"/>
      <c r="E74" s="82"/>
      <c r="F74" s="83">
        <v>0</v>
      </c>
      <c r="G74" s="83">
        <v>0</v>
      </c>
    </row>
    <row r="75" spans="1:7" ht="16.5" customHeight="1" hidden="1" thickBot="1">
      <c r="A75" s="225"/>
      <c r="B75" s="84" t="s">
        <v>33</v>
      </c>
      <c r="C75" s="85"/>
      <c r="D75" s="86"/>
      <c r="E75" s="87"/>
      <c r="F75" s="88">
        <v>0</v>
      </c>
      <c r="G75" s="88">
        <v>0</v>
      </c>
    </row>
    <row r="76" spans="1:7" ht="16.5" customHeight="1" thickBot="1">
      <c r="A76" s="225"/>
      <c r="B76" s="67" t="s">
        <v>177</v>
      </c>
      <c r="C76" s="66"/>
      <c r="D76" s="66"/>
      <c r="E76" s="32">
        <f aca="true" t="shared" si="3" ref="E76:E83">SUM(F76:G76)</f>
        <v>865000</v>
      </c>
      <c r="F76" s="66">
        <v>865000</v>
      </c>
      <c r="G76" s="8">
        <v>0</v>
      </c>
    </row>
    <row r="77" spans="1:7" ht="16.5" customHeight="1" thickBot="1">
      <c r="A77" s="185" t="s">
        <v>137</v>
      </c>
      <c r="B77" s="103"/>
      <c r="C77" s="104"/>
      <c r="D77" s="105"/>
      <c r="E77" s="106">
        <f t="shared" si="3"/>
        <v>35000</v>
      </c>
      <c r="F77" s="107">
        <f>SUM(F78:F79)</f>
        <v>35000</v>
      </c>
      <c r="G77" s="108">
        <f>SUM(G78:G80)</f>
        <v>0</v>
      </c>
    </row>
    <row r="78" spans="1:7" ht="30" customHeight="1" thickBot="1">
      <c r="A78" s="225" t="s">
        <v>138</v>
      </c>
      <c r="B78" s="256" t="s">
        <v>139</v>
      </c>
      <c r="C78" s="85"/>
      <c r="D78" s="86"/>
      <c r="E78" s="27">
        <f t="shared" si="3"/>
        <v>15000</v>
      </c>
      <c r="F78" s="257">
        <v>15000</v>
      </c>
      <c r="G78" s="53">
        <v>0</v>
      </c>
    </row>
    <row r="79" spans="1:7" ht="19.5" customHeight="1" thickBot="1">
      <c r="A79" s="229"/>
      <c r="B79" s="256" t="s">
        <v>140</v>
      </c>
      <c r="C79" s="85"/>
      <c r="D79" s="86"/>
      <c r="E79" s="27">
        <f t="shared" si="3"/>
        <v>20000</v>
      </c>
      <c r="F79" s="257">
        <v>20000</v>
      </c>
      <c r="G79" s="53">
        <v>0</v>
      </c>
    </row>
    <row r="80" spans="1:7" ht="15.75" customHeight="1" thickBot="1">
      <c r="A80" s="185" t="s">
        <v>36</v>
      </c>
      <c r="B80" s="89"/>
      <c r="C80" s="90"/>
      <c r="D80" s="90"/>
      <c r="E80" s="91">
        <f t="shared" si="3"/>
        <v>35100</v>
      </c>
      <c r="F80" s="92">
        <f>SUM(F81:F83)</f>
        <v>35100</v>
      </c>
      <c r="G80" s="92">
        <f>SUM(G81:G95)</f>
        <v>0</v>
      </c>
    </row>
    <row r="81" spans="1:7" ht="17.25" customHeight="1" thickBot="1">
      <c r="A81" s="2" t="s">
        <v>4</v>
      </c>
      <c r="B81" s="93" t="s">
        <v>169</v>
      </c>
      <c r="C81" s="94"/>
      <c r="D81" s="95"/>
      <c r="E81" s="96">
        <f t="shared" si="3"/>
        <v>5100</v>
      </c>
      <c r="F81" s="97">
        <v>5100</v>
      </c>
      <c r="G81" s="98">
        <v>0</v>
      </c>
    </row>
    <row r="82" spans="1:7" ht="15" customHeight="1" thickBot="1">
      <c r="A82" s="177"/>
      <c r="B82" s="93" t="s">
        <v>172</v>
      </c>
      <c r="C82" s="94"/>
      <c r="D82" s="95"/>
      <c r="E82" s="96">
        <f t="shared" si="3"/>
        <v>20000</v>
      </c>
      <c r="F82" s="97">
        <f>45000-25000</f>
        <v>20000</v>
      </c>
      <c r="G82" s="98">
        <v>0</v>
      </c>
    </row>
    <row r="83" spans="1:7" ht="22.5" customHeight="1" thickBot="1">
      <c r="A83" s="182" t="s">
        <v>106</v>
      </c>
      <c r="B83" s="275" t="s">
        <v>125</v>
      </c>
      <c r="C83" s="94"/>
      <c r="D83" s="95"/>
      <c r="E83" s="276">
        <f t="shared" si="3"/>
        <v>10000</v>
      </c>
      <c r="F83" s="139">
        <v>10000</v>
      </c>
      <c r="G83" s="98">
        <v>0</v>
      </c>
    </row>
    <row r="84" spans="1:7" ht="15" customHeight="1" hidden="1" thickBot="1">
      <c r="A84" s="177"/>
      <c r="B84" s="226"/>
      <c r="C84" s="178"/>
      <c r="D84" s="178"/>
      <c r="E84" s="227"/>
      <c r="F84" s="228"/>
      <c r="G84" s="83"/>
    </row>
    <row r="85" spans="1:7" ht="15" customHeight="1" hidden="1" thickBot="1">
      <c r="A85" s="177"/>
      <c r="B85" s="226"/>
      <c r="C85" s="178"/>
      <c r="D85" s="178"/>
      <c r="E85" s="227"/>
      <c r="F85" s="228"/>
      <c r="G85" s="83"/>
    </row>
    <row r="86" spans="1:7" ht="26.25" customHeight="1" thickBot="1">
      <c r="A86" s="185" t="s">
        <v>66</v>
      </c>
      <c r="B86" s="89"/>
      <c r="C86" s="90"/>
      <c r="D86" s="90"/>
      <c r="E86" s="91">
        <f aca="true" t="shared" si="4" ref="E86:E91">SUM(F86:G86)</f>
        <v>60000</v>
      </c>
      <c r="F86" s="92">
        <f>SUM(F87:F88)</f>
        <v>60000</v>
      </c>
      <c r="G86" s="92">
        <f>SUM(G87:G97)</f>
        <v>0</v>
      </c>
    </row>
    <row r="87" spans="1:7" ht="31.5" customHeight="1" hidden="1" thickBot="1">
      <c r="A87" s="183" t="s">
        <v>48</v>
      </c>
      <c r="B87" s="99" t="s">
        <v>49</v>
      </c>
      <c r="C87" s="100"/>
      <c r="D87" s="101"/>
      <c r="E87" s="102">
        <f t="shared" si="4"/>
        <v>0</v>
      </c>
      <c r="F87" s="100">
        <v>0</v>
      </c>
      <c r="G87" s="71">
        <v>0</v>
      </c>
    </row>
    <row r="88" spans="1:8" ht="15.75" thickBot="1">
      <c r="A88" s="183" t="s">
        <v>65</v>
      </c>
      <c r="B88" s="99" t="s">
        <v>173</v>
      </c>
      <c r="C88" s="100"/>
      <c r="D88" s="101"/>
      <c r="E88" s="102">
        <f t="shared" si="4"/>
        <v>60000</v>
      </c>
      <c r="F88" s="100">
        <f>35000+25000</f>
        <v>60000</v>
      </c>
      <c r="G88" s="71">
        <v>0</v>
      </c>
      <c r="H88" s="194" t="s">
        <v>109</v>
      </c>
    </row>
    <row r="89" spans="1:7" ht="14.25" customHeight="1" thickBot="1">
      <c r="A89" s="185" t="s">
        <v>60</v>
      </c>
      <c r="B89" s="103"/>
      <c r="C89" s="104"/>
      <c r="D89" s="105"/>
      <c r="E89" s="106">
        <f t="shared" si="4"/>
        <v>342</v>
      </c>
      <c r="F89" s="107">
        <f>SUM(F90)</f>
        <v>342</v>
      </c>
      <c r="G89" s="108">
        <f>SUM(G90:G91)</f>
        <v>0</v>
      </c>
    </row>
    <row r="90" spans="1:7" ht="16.5" customHeight="1" thickBot="1">
      <c r="A90" s="229" t="s">
        <v>61</v>
      </c>
      <c r="B90" s="256" t="s">
        <v>62</v>
      </c>
      <c r="C90" s="85"/>
      <c r="D90" s="86"/>
      <c r="E90" s="27">
        <f t="shared" si="4"/>
        <v>342</v>
      </c>
      <c r="F90" s="257">
        <v>342</v>
      </c>
      <c r="G90" s="53">
        <v>0</v>
      </c>
    </row>
    <row r="91" spans="1:7" ht="28.5" customHeight="1" hidden="1" thickBot="1">
      <c r="A91" s="183" t="s">
        <v>48</v>
      </c>
      <c r="B91" s="99" t="s">
        <v>49</v>
      </c>
      <c r="C91" s="100"/>
      <c r="D91" s="101"/>
      <c r="E91" s="102">
        <f t="shared" si="4"/>
        <v>0</v>
      </c>
      <c r="F91" s="100">
        <v>0</v>
      </c>
      <c r="G91" s="71">
        <v>0</v>
      </c>
    </row>
    <row r="92" spans="1:7" ht="12.75" customHeight="1" hidden="1">
      <c r="A92" s="751" t="s">
        <v>6</v>
      </c>
      <c r="B92" s="709" t="s">
        <v>7</v>
      </c>
      <c r="C92" s="37" t="s">
        <v>18</v>
      </c>
      <c r="D92" s="38" t="s">
        <v>8</v>
      </c>
      <c r="E92" s="758" t="s">
        <v>96</v>
      </c>
      <c r="F92" s="771" t="s">
        <v>19</v>
      </c>
      <c r="G92" s="772"/>
    </row>
    <row r="93" spans="1:7" ht="12.75" customHeight="1" hidden="1">
      <c r="A93" s="752"/>
      <c r="B93" s="722"/>
      <c r="C93" s="39" t="s">
        <v>0</v>
      </c>
      <c r="D93" s="40" t="s">
        <v>14</v>
      </c>
      <c r="E93" s="759"/>
      <c r="F93" s="724" t="s">
        <v>54</v>
      </c>
      <c r="G93" s="768" t="s">
        <v>55</v>
      </c>
    </row>
    <row r="94" spans="1:7" ht="10.5" customHeight="1" hidden="1" thickBot="1">
      <c r="A94" s="753"/>
      <c r="B94" s="723"/>
      <c r="C94" s="41"/>
      <c r="D94" s="42" t="s">
        <v>15</v>
      </c>
      <c r="E94" s="770"/>
      <c r="F94" s="725"/>
      <c r="G94" s="769"/>
    </row>
    <row r="95" spans="1:7" ht="20.25" customHeight="1" hidden="1" thickBot="1">
      <c r="A95" s="188"/>
      <c r="B95" s="109" t="s">
        <v>38</v>
      </c>
      <c r="C95" s="80"/>
      <c r="D95" s="81"/>
      <c r="E95" s="96">
        <f aca="true" t="shared" si="5" ref="E95:E113">SUM(F95:G95)</f>
        <v>0</v>
      </c>
      <c r="F95" s="97">
        <v>0</v>
      </c>
      <c r="G95" s="98">
        <v>0</v>
      </c>
    </row>
    <row r="96" spans="1:8" s="207" customFormat="1" ht="16.5" customHeight="1" thickBot="1">
      <c r="A96" s="185" t="s">
        <v>12</v>
      </c>
      <c r="B96" s="110"/>
      <c r="C96" s="111">
        <v>12500</v>
      </c>
      <c r="D96" s="112">
        <v>12500</v>
      </c>
      <c r="E96" s="106">
        <f t="shared" si="5"/>
        <v>1988387</v>
      </c>
      <c r="F96" s="113">
        <f>SUM(F97:F107)+F108</f>
        <v>1988387</v>
      </c>
      <c r="G96" s="108">
        <f>SUM(G97:G101)</f>
        <v>0</v>
      </c>
      <c r="H96" s="199"/>
    </row>
    <row r="97" spans="1:8" s="207" customFormat="1" ht="18.75" customHeight="1">
      <c r="A97" s="293" t="s">
        <v>26</v>
      </c>
      <c r="B97" s="46" t="s">
        <v>101</v>
      </c>
      <c r="C97" s="114"/>
      <c r="D97" s="115"/>
      <c r="E97" s="7">
        <f t="shared" si="5"/>
        <v>550000</v>
      </c>
      <c r="F97" s="116">
        <v>550000</v>
      </c>
      <c r="G97" s="63">
        <v>0</v>
      </c>
      <c r="H97" s="199"/>
    </row>
    <row r="98" spans="1:8" s="207" customFormat="1" ht="21" customHeight="1">
      <c r="A98" s="294"/>
      <c r="B98" s="285" t="s">
        <v>112</v>
      </c>
      <c r="C98" s="286"/>
      <c r="D98" s="287"/>
      <c r="E98" s="288">
        <f t="shared" si="5"/>
        <v>1205687</v>
      </c>
      <c r="F98" s="289">
        <v>1205687</v>
      </c>
      <c r="G98" s="290">
        <v>0</v>
      </c>
      <c r="H98" s="199"/>
    </row>
    <row r="99" spans="1:8" s="207" customFormat="1" ht="19.5" customHeight="1">
      <c r="A99" s="295"/>
      <c r="B99" s="45" t="s">
        <v>92</v>
      </c>
      <c r="C99" s="117">
        <v>47000</v>
      </c>
      <c r="D99" s="118">
        <v>47000</v>
      </c>
      <c r="E99" s="27">
        <f t="shared" si="5"/>
        <v>10000</v>
      </c>
      <c r="F99" s="119">
        <v>10000</v>
      </c>
      <c r="G99" s="62">
        <v>0</v>
      </c>
      <c r="H99" s="199"/>
    </row>
    <row r="100" spans="1:8" s="207" customFormat="1" ht="18" customHeight="1" thickBot="1">
      <c r="A100" s="296"/>
      <c r="B100" s="292" t="s">
        <v>122</v>
      </c>
      <c r="C100" s="168"/>
      <c r="D100" s="168"/>
      <c r="E100" s="27">
        <f t="shared" si="5"/>
        <v>7000</v>
      </c>
      <c r="F100" s="119">
        <v>7000</v>
      </c>
      <c r="G100" s="62"/>
      <c r="H100" s="199"/>
    </row>
    <row r="101" spans="1:8" s="207" customFormat="1" ht="17.25" customHeight="1">
      <c r="A101" s="259" t="s">
        <v>27</v>
      </c>
      <c r="B101" s="45" t="s">
        <v>174</v>
      </c>
      <c r="C101" s="114"/>
      <c r="D101" s="115"/>
      <c r="E101" s="65">
        <f t="shared" si="5"/>
        <v>210000</v>
      </c>
      <c r="F101" s="116">
        <v>210000</v>
      </c>
      <c r="G101" s="63">
        <v>0</v>
      </c>
      <c r="H101" s="199"/>
    </row>
    <row r="102" spans="1:7" ht="15.75" hidden="1">
      <c r="A102" s="184" t="s">
        <v>63</v>
      </c>
      <c r="B102" s="46"/>
      <c r="C102" s="5"/>
      <c r="D102" s="6"/>
      <c r="E102" s="120">
        <f t="shared" si="5"/>
        <v>0</v>
      </c>
      <c r="F102" s="121">
        <f>SUM(F103)</f>
        <v>0</v>
      </c>
      <c r="G102" s="122">
        <f>SUM(G103)</f>
        <v>0</v>
      </c>
    </row>
    <row r="103" spans="1:7" ht="24" customHeight="1" hidden="1" thickBot="1">
      <c r="A103" s="1" t="s">
        <v>64</v>
      </c>
      <c r="B103" s="99" t="s">
        <v>87</v>
      </c>
      <c r="C103" s="100"/>
      <c r="D103" s="101"/>
      <c r="E103" s="123">
        <f t="shared" si="5"/>
        <v>0</v>
      </c>
      <c r="F103" s="124">
        <v>0</v>
      </c>
      <c r="G103" s="125">
        <v>0</v>
      </c>
    </row>
    <row r="104" spans="1:7" ht="24" customHeight="1" hidden="1">
      <c r="A104" s="260"/>
      <c r="B104" s="46" t="s">
        <v>110</v>
      </c>
      <c r="C104" s="114"/>
      <c r="D104" s="115"/>
      <c r="E104" s="65">
        <f t="shared" si="5"/>
        <v>0</v>
      </c>
      <c r="F104" s="116">
        <v>0</v>
      </c>
      <c r="G104" s="180">
        <v>0</v>
      </c>
    </row>
    <row r="105" spans="1:7" ht="16.5" customHeight="1" hidden="1" thickBot="1">
      <c r="A105" s="165"/>
      <c r="B105" s="46" t="s">
        <v>111</v>
      </c>
      <c r="C105" s="114"/>
      <c r="D105" s="115"/>
      <c r="E105" s="65">
        <f t="shared" si="5"/>
        <v>0</v>
      </c>
      <c r="F105" s="116">
        <v>0</v>
      </c>
      <c r="G105" s="63">
        <v>0</v>
      </c>
    </row>
    <row r="106" spans="1:7" ht="18" customHeight="1" hidden="1">
      <c r="A106" s="166" t="s">
        <v>99</v>
      </c>
      <c r="B106" s="46" t="s">
        <v>100</v>
      </c>
      <c r="C106" s="114"/>
      <c r="D106" s="115"/>
      <c r="E106" s="65">
        <f t="shared" si="5"/>
        <v>0</v>
      </c>
      <c r="F106" s="116">
        <v>0</v>
      </c>
      <c r="G106" s="63">
        <v>0</v>
      </c>
    </row>
    <row r="107" spans="1:7" ht="18" customHeight="1" hidden="1" thickBot="1">
      <c r="A107" s="179"/>
      <c r="B107" s="45" t="s">
        <v>92</v>
      </c>
      <c r="C107" s="117">
        <v>47000</v>
      </c>
      <c r="D107" s="118">
        <v>47000</v>
      </c>
      <c r="E107" s="27">
        <f t="shared" si="5"/>
        <v>0</v>
      </c>
      <c r="F107" s="119">
        <v>0</v>
      </c>
      <c r="G107" s="62">
        <v>0</v>
      </c>
    </row>
    <row r="108" spans="1:7" ht="18" customHeight="1" thickBot="1">
      <c r="A108" s="179" t="s">
        <v>178</v>
      </c>
      <c r="B108" s="109" t="s">
        <v>179</v>
      </c>
      <c r="C108" s="297"/>
      <c r="D108" s="298"/>
      <c r="E108" s="65">
        <f t="shared" si="5"/>
        <v>5700</v>
      </c>
      <c r="F108" s="116">
        <v>5700</v>
      </c>
      <c r="G108" s="63">
        <v>0</v>
      </c>
    </row>
    <row r="109" spans="1:7" ht="18" customHeight="1" thickBot="1">
      <c r="A109" s="185" t="s">
        <v>107</v>
      </c>
      <c r="B109" s="110"/>
      <c r="C109" s="111">
        <v>12500</v>
      </c>
      <c r="D109" s="112">
        <v>12500</v>
      </c>
      <c r="E109" s="106">
        <f t="shared" si="5"/>
        <v>50000</v>
      </c>
      <c r="F109" s="283">
        <f>SUM(F110)</f>
        <v>50000</v>
      </c>
      <c r="G109" s="108">
        <f>SUM(G110:G114)</f>
        <v>0</v>
      </c>
    </row>
    <row r="110" spans="1:7" ht="20.25" customHeight="1" thickBot="1">
      <c r="A110" s="3" t="s">
        <v>108</v>
      </c>
      <c r="B110" s="46" t="s">
        <v>162</v>
      </c>
      <c r="C110" s="114"/>
      <c r="D110" s="115"/>
      <c r="E110" s="7">
        <f t="shared" si="5"/>
        <v>50000</v>
      </c>
      <c r="F110" s="116">
        <v>50000</v>
      </c>
      <c r="G110" s="63">
        <v>0</v>
      </c>
    </row>
    <row r="111" spans="1:7" ht="31.5" customHeight="1" thickBot="1">
      <c r="A111" s="186" t="s">
        <v>9</v>
      </c>
      <c r="B111" s="54"/>
      <c r="C111" s="55">
        <v>40000</v>
      </c>
      <c r="D111" s="126">
        <v>40000</v>
      </c>
      <c r="E111" s="106">
        <f t="shared" si="5"/>
        <v>143500</v>
      </c>
      <c r="F111" s="127">
        <f>SUM(F113:F118)</f>
        <v>143500</v>
      </c>
      <c r="G111" s="58">
        <f>SUM(G113:G118)</f>
        <v>0</v>
      </c>
    </row>
    <row r="112" spans="1:7" ht="13.5" customHeight="1" hidden="1">
      <c r="A112" s="230"/>
      <c r="B112" s="128"/>
      <c r="C112" s="129"/>
      <c r="D112" s="130"/>
      <c r="E112" s="27">
        <f t="shared" si="5"/>
        <v>0</v>
      </c>
      <c r="F112" s="131"/>
      <c r="G112" s="122"/>
    </row>
    <row r="113" spans="1:7" ht="19.5" customHeight="1" hidden="1" thickBot="1">
      <c r="A113" s="231" t="s">
        <v>89</v>
      </c>
      <c r="B113" s="132" t="s">
        <v>91</v>
      </c>
      <c r="C113" s="133">
        <v>36475</v>
      </c>
      <c r="D113" s="134">
        <v>36475</v>
      </c>
      <c r="E113" s="102">
        <f t="shared" si="5"/>
        <v>0</v>
      </c>
      <c r="F113" s="135">
        <v>0</v>
      </c>
      <c r="G113" s="125">
        <v>0</v>
      </c>
    </row>
    <row r="114" spans="1:7" ht="15.75" customHeight="1" hidden="1">
      <c r="A114" s="751" t="s">
        <v>6</v>
      </c>
      <c r="B114" s="709" t="s">
        <v>7</v>
      </c>
      <c r="C114" s="37" t="s">
        <v>18</v>
      </c>
      <c r="D114" s="38" t="s">
        <v>8</v>
      </c>
      <c r="E114" s="733" t="s">
        <v>37</v>
      </c>
      <c r="F114" s="703" t="s">
        <v>19</v>
      </c>
      <c r="G114" s="704"/>
    </row>
    <row r="115" spans="1:7" ht="15.75" hidden="1">
      <c r="A115" s="752"/>
      <c r="B115" s="722"/>
      <c r="C115" s="39" t="s">
        <v>0</v>
      </c>
      <c r="D115" s="40" t="s">
        <v>14</v>
      </c>
      <c r="E115" s="734"/>
      <c r="F115" s="705" t="s">
        <v>13</v>
      </c>
      <c r="G115" s="720" t="s">
        <v>20</v>
      </c>
    </row>
    <row r="116" spans="1:7" ht="15" customHeight="1" hidden="1" thickBot="1">
      <c r="A116" s="753"/>
      <c r="B116" s="723"/>
      <c r="C116" s="41"/>
      <c r="D116" s="42" t="s">
        <v>15</v>
      </c>
      <c r="E116" s="735"/>
      <c r="F116" s="706"/>
      <c r="G116" s="721"/>
    </row>
    <row r="117" spans="1:7" ht="45" customHeight="1" hidden="1" thickBot="1">
      <c r="A117" s="231" t="s">
        <v>40</v>
      </c>
      <c r="B117" s="171" t="s">
        <v>41</v>
      </c>
      <c r="C117" s="264">
        <v>36475</v>
      </c>
      <c r="D117" s="265">
        <v>36475</v>
      </c>
      <c r="E117" s="29">
        <f aca="true" t="shared" si="6" ref="E117:E127">SUM(F117:G117)</f>
        <v>0</v>
      </c>
      <c r="F117" s="266">
        <v>0</v>
      </c>
      <c r="G117" s="180">
        <v>0</v>
      </c>
    </row>
    <row r="118" spans="1:7" ht="18" customHeight="1" thickBot="1">
      <c r="A118" s="262" t="s">
        <v>35</v>
      </c>
      <c r="B118" s="267"/>
      <c r="C118" s="268"/>
      <c r="D118" s="269"/>
      <c r="E118" s="270">
        <f t="shared" si="6"/>
        <v>143500</v>
      </c>
      <c r="F118" s="271">
        <f>SUM(F119:F127)</f>
        <v>143500</v>
      </c>
      <c r="G118" s="282">
        <f>SUM(G119:G151)</f>
        <v>0</v>
      </c>
    </row>
    <row r="119" spans="1:7" ht="16.5" customHeight="1">
      <c r="A119" s="263"/>
      <c r="B119" s="272" t="s">
        <v>116</v>
      </c>
      <c r="C119" s="136">
        <v>36475</v>
      </c>
      <c r="D119" s="137">
        <v>36475</v>
      </c>
      <c r="E119" s="138">
        <f t="shared" si="6"/>
        <v>40000</v>
      </c>
      <c r="F119" s="139">
        <v>40000</v>
      </c>
      <c r="G119" s="19">
        <v>0</v>
      </c>
    </row>
    <row r="120" spans="1:7" ht="16.5" customHeight="1">
      <c r="A120" s="223"/>
      <c r="B120" s="273" t="s">
        <v>117</v>
      </c>
      <c r="C120" s="140"/>
      <c r="D120" s="141"/>
      <c r="E120" s="32">
        <f t="shared" si="6"/>
        <v>15000</v>
      </c>
      <c r="F120" s="66">
        <v>15000</v>
      </c>
      <c r="G120" s="8">
        <v>0</v>
      </c>
    </row>
    <row r="121" spans="1:7" ht="18" customHeight="1">
      <c r="A121" s="223"/>
      <c r="B121" s="273" t="s">
        <v>118</v>
      </c>
      <c r="C121" s="136"/>
      <c r="D121" s="137"/>
      <c r="E121" s="32">
        <f t="shared" si="6"/>
        <v>8000</v>
      </c>
      <c r="F121" s="139">
        <v>8000</v>
      </c>
      <c r="G121" s="19">
        <v>0</v>
      </c>
    </row>
    <row r="122" spans="1:7" ht="15.75" customHeight="1">
      <c r="A122" s="223"/>
      <c r="B122" s="274" t="s">
        <v>90</v>
      </c>
      <c r="C122" s="136"/>
      <c r="D122" s="137"/>
      <c r="E122" s="32">
        <f t="shared" si="6"/>
        <v>8200</v>
      </c>
      <c r="F122" s="299">
        <v>8200</v>
      </c>
      <c r="G122" s="19">
        <v>0</v>
      </c>
    </row>
    <row r="123" spans="1:7" ht="16.5" customHeight="1">
      <c r="A123" s="223"/>
      <c r="B123" s="273" t="s">
        <v>119</v>
      </c>
      <c r="C123" s="140"/>
      <c r="D123" s="141"/>
      <c r="E123" s="138">
        <f t="shared" si="6"/>
        <v>3000</v>
      </c>
      <c r="F123" s="143">
        <v>3000</v>
      </c>
      <c r="G123" s="8">
        <v>0</v>
      </c>
    </row>
    <row r="124" spans="1:8" ht="16.5" customHeight="1">
      <c r="A124" s="223"/>
      <c r="B124" s="273" t="s">
        <v>144</v>
      </c>
      <c r="C124" s="140"/>
      <c r="D124" s="141"/>
      <c r="E124" s="138">
        <f t="shared" si="6"/>
        <v>29000</v>
      </c>
      <c r="F124" s="143">
        <v>29000</v>
      </c>
      <c r="G124" s="8"/>
      <c r="H124" s="194" t="s">
        <v>145</v>
      </c>
    </row>
    <row r="125" spans="1:7" ht="20.25" customHeight="1">
      <c r="A125" s="223"/>
      <c r="B125" s="273" t="s">
        <v>121</v>
      </c>
      <c r="C125" s="140"/>
      <c r="D125" s="141"/>
      <c r="E125" s="138">
        <f t="shared" si="6"/>
        <v>3000</v>
      </c>
      <c r="F125" s="143">
        <v>3000</v>
      </c>
      <c r="G125" s="8"/>
    </row>
    <row r="126" spans="1:7" ht="20.25" customHeight="1">
      <c r="A126" s="223"/>
      <c r="B126" s="273" t="s">
        <v>141</v>
      </c>
      <c r="C126" s="140"/>
      <c r="D126" s="141"/>
      <c r="E126" s="138">
        <f t="shared" si="6"/>
        <v>25000</v>
      </c>
      <c r="F126" s="143">
        <v>25000</v>
      </c>
      <c r="G126" s="8"/>
    </row>
    <row r="127" spans="1:8" ht="20.25" customHeight="1" thickBot="1">
      <c r="A127" s="223"/>
      <c r="B127" s="277" t="s">
        <v>120</v>
      </c>
      <c r="C127" s="264"/>
      <c r="D127" s="265"/>
      <c r="E127" s="278">
        <f t="shared" si="6"/>
        <v>12300</v>
      </c>
      <c r="F127" s="279">
        <v>12300</v>
      </c>
      <c r="G127" s="13"/>
      <c r="H127" s="194" t="s">
        <v>160</v>
      </c>
    </row>
    <row r="128" spans="1:7" ht="15" customHeight="1">
      <c r="A128" s="751" t="s">
        <v>6</v>
      </c>
      <c r="B128" s="709" t="s">
        <v>7</v>
      </c>
      <c r="C128" s="37" t="s">
        <v>18</v>
      </c>
      <c r="D128" s="38" t="s">
        <v>8</v>
      </c>
      <c r="E128" s="733" t="s">
        <v>165</v>
      </c>
      <c r="F128" s="703" t="s">
        <v>19</v>
      </c>
      <c r="G128" s="704"/>
    </row>
    <row r="129" spans="1:7" ht="12.75" customHeight="1">
      <c r="A129" s="752"/>
      <c r="B129" s="722"/>
      <c r="C129" s="39" t="s">
        <v>0</v>
      </c>
      <c r="D129" s="40" t="s">
        <v>14</v>
      </c>
      <c r="E129" s="734"/>
      <c r="F129" s="705" t="s">
        <v>13</v>
      </c>
      <c r="G129" s="720" t="s">
        <v>20</v>
      </c>
    </row>
    <row r="130" spans="1:7" ht="18" customHeight="1" thickBot="1">
      <c r="A130" s="753"/>
      <c r="B130" s="723"/>
      <c r="C130" s="41"/>
      <c r="D130" s="42" t="s">
        <v>15</v>
      </c>
      <c r="E130" s="735"/>
      <c r="F130" s="706"/>
      <c r="G130" s="721"/>
    </row>
    <row r="131" spans="1:17" ht="28.5" customHeight="1" thickBot="1">
      <c r="A131" s="186" t="s">
        <v>21</v>
      </c>
      <c r="B131" s="54"/>
      <c r="C131" s="55">
        <v>23200</v>
      </c>
      <c r="D131" s="126">
        <v>23200</v>
      </c>
      <c r="E131" s="161">
        <f aca="true" t="shared" si="7" ref="E131:E146">SUM(F131:G131)</f>
        <v>122500</v>
      </c>
      <c r="F131" s="187">
        <f>SUM(F132:F141)</f>
        <v>122500</v>
      </c>
      <c r="G131" s="144">
        <f>SUM(G132:G140)</f>
        <v>0</v>
      </c>
      <c r="K131" s="232"/>
      <c r="L131" s="232"/>
      <c r="M131" s="233"/>
      <c r="N131" s="233"/>
      <c r="O131" s="234"/>
      <c r="P131" s="235"/>
      <c r="Q131" s="235"/>
    </row>
    <row r="132" spans="1:7" ht="25.5">
      <c r="A132" s="188" t="s">
        <v>22</v>
      </c>
      <c r="B132" s="145" t="s">
        <v>142</v>
      </c>
      <c r="C132" s="146">
        <v>1500</v>
      </c>
      <c r="D132" s="147">
        <v>1500</v>
      </c>
      <c r="E132" s="162">
        <f t="shared" si="7"/>
        <v>75000</v>
      </c>
      <c r="F132" s="139">
        <v>75000</v>
      </c>
      <c r="G132" s="19">
        <v>0</v>
      </c>
    </row>
    <row r="133" spans="1:8" ht="17.25" customHeight="1" thickBot="1">
      <c r="A133" s="236"/>
      <c r="B133" s="261" t="s">
        <v>155</v>
      </c>
      <c r="C133" s="148"/>
      <c r="D133" s="149"/>
      <c r="E133" s="162">
        <f t="shared" si="7"/>
        <v>35000</v>
      </c>
      <c r="F133" s="139">
        <v>35000</v>
      </c>
      <c r="G133" s="19">
        <v>0</v>
      </c>
      <c r="H133" s="194" t="s">
        <v>133</v>
      </c>
    </row>
    <row r="134" spans="1:7" ht="15.75" hidden="1" thickBot="1">
      <c r="A134" s="237"/>
      <c r="B134" s="46" t="s">
        <v>88</v>
      </c>
      <c r="C134" s="150"/>
      <c r="D134" s="151"/>
      <c r="E134" s="163">
        <f t="shared" si="7"/>
        <v>0</v>
      </c>
      <c r="F134" s="66">
        <v>0</v>
      </c>
      <c r="G134" s="8">
        <v>0</v>
      </c>
    </row>
    <row r="135" spans="1:8" ht="20.25" customHeight="1" thickBot="1">
      <c r="A135" s="237"/>
      <c r="B135" s="167" t="s">
        <v>158</v>
      </c>
      <c r="C135" s="150">
        <v>1500</v>
      </c>
      <c r="D135" s="151">
        <v>1500</v>
      </c>
      <c r="E135" s="162">
        <f t="shared" si="7"/>
        <v>7500</v>
      </c>
      <c r="F135" s="138">
        <v>7500</v>
      </c>
      <c r="G135" s="8">
        <v>0</v>
      </c>
      <c r="H135" s="194" t="s">
        <v>159</v>
      </c>
    </row>
    <row r="136" spans="1:7" ht="22.5" customHeight="1" hidden="1" thickBot="1">
      <c r="A136" s="237"/>
      <c r="B136" s="152" t="s">
        <v>97</v>
      </c>
      <c r="C136" s="150"/>
      <c r="D136" s="151"/>
      <c r="E136" s="162">
        <f t="shared" si="7"/>
        <v>0</v>
      </c>
      <c r="F136" s="138">
        <v>0</v>
      </c>
      <c r="G136" s="8">
        <v>0</v>
      </c>
    </row>
    <row r="137" spans="1:7" ht="17.25" customHeight="1" hidden="1" thickBot="1">
      <c r="A137" s="237"/>
      <c r="B137" s="152" t="s">
        <v>93</v>
      </c>
      <c r="C137" s="150"/>
      <c r="D137" s="151"/>
      <c r="E137" s="162">
        <f t="shared" si="7"/>
        <v>0</v>
      </c>
      <c r="F137" s="138">
        <v>0</v>
      </c>
      <c r="G137" s="8">
        <v>0</v>
      </c>
    </row>
    <row r="138" spans="1:7" ht="17.25" customHeight="1" hidden="1" thickBot="1">
      <c r="A138" s="237"/>
      <c r="B138" s="153" t="s">
        <v>86</v>
      </c>
      <c r="C138" s="150"/>
      <c r="D138" s="151"/>
      <c r="E138" s="163">
        <f t="shared" si="7"/>
        <v>0</v>
      </c>
      <c r="F138" s="66">
        <v>0</v>
      </c>
      <c r="G138" s="8">
        <v>0</v>
      </c>
    </row>
    <row r="139" spans="1:7" ht="18.75" customHeight="1" hidden="1" thickBot="1">
      <c r="A139" s="237"/>
      <c r="B139" s="46" t="s">
        <v>113</v>
      </c>
      <c r="C139" s="150"/>
      <c r="D139" s="151"/>
      <c r="E139" s="163">
        <f t="shared" si="7"/>
        <v>0</v>
      </c>
      <c r="F139" s="66">
        <v>0</v>
      </c>
      <c r="G139" s="8">
        <v>0</v>
      </c>
    </row>
    <row r="140" spans="1:10" ht="15" customHeight="1" hidden="1" thickBot="1">
      <c r="A140" s="238"/>
      <c r="B140" s="171" t="s">
        <v>85</v>
      </c>
      <c r="C140" s="172"/>
      <c r="D140" s="173"/>
      <c r="E140" s="174">
        <f t="shared" si="7"/>
        <v>0</v>
      </c>
      <c r="F140" s="175">
        <v>0</v>
      </c>
      <c r="G140" s="13">
        <v>0</v>
      </c>
      <c r="H140" s="220"/>
      <c r="J140" s="239"/>
    </row>
    <row r="141" spans="1:10" ht="30" customHeight="1" thickBot="1">
      <c r="A141" s="240" t="s">
        <v>59</v>
      </c>
      <c r="B141" s="154" t="s">
        <v>156</v>
      </c>
      <c r="C141" s="155">
        <v>1500</v>
      </c>
      <c r="D141" s="156">
        <v>1500</v>
      </c>
      <c r="E141" s="164">
        <f t="shared" si="7"/>
        <v>5000</v>
      </c>
      <c r="F141" s="69">
        <v>5000</v>
      </c>
      <c r="G141" s="71">
        <v>0</v>
      </c>
      <c r="H141" s="220" t="s">
        <v>157</v>
      </c>
      <c r="J141" s="239"/>
    </row>
    <row r="142" spans="1:7" ht="18" customHeight="1" thickBot="1">
      <c r="A142" s="241" t="s">
        <v>23</v>
      </c>
      <c r="B142" s="54"/>
      <c r="C142" s="55">
        <v>23200</v>
      </c>
      <c r="D142" s="126">
        <v>23200</v>
      </c>
      <c r="E142" s="106">
        <f t="shared" si="7"/>
        <v>151000</v>
      </c>
      <c r="F142" s="55">
        <f>SUM(F143:F157)</f>
        <v>151000</v>
      </c>
      <c r="G142" s="144">
        <f>SUM(G143:G157)</f>
        <v>0</v>
      </c>
    </row>
    <row r="143" spans="1:10" ht="15.75" thickBot="1">
      <c r="A143" s="208" t="s">
        <v>24</v>
      </c>
      <c r="B143" s="157" t="s">
        <v>147</v>
      </c>
      <c r="C143" s="148">
        <v>1500</v>
      </c>
      <c r="D143" s="149">
        <v>1500</v>
      </c>
      <c r="E143" s="138">
        <f t="shared" si="7"/>
        <v>33500</v>
      </c>
      <c r="F143" s="139">
        <v>33500</v>
      </c>
      <c r="G143" s="19">
        <v>0</v>
      </c>
      <c r="H143" s="194" t="s">
        <v>148</v>
      </c>
      <c r="J143" s="191"/>
    </row>
    <row r="144" spans="1:10" ht="15.75" thickBot="1">
      <c r="A144" s="236"/>
      <c r="B144" s="158" t="s">
        <v>103</v>
      </c>
      <c r="C144" s="150"/>
      <c r="D144" s="151"/>
      <c r="E144" s="138">
        <f t="shared" si="7"/>
        <v>14000</v>
      </c>
      <c r="F144" s="66">
        <v>14000</v>
      </c>
      <c r="G144" s="8">
        <v>0</v>
      </c>
      <c r="H144" s="194" t="s">
        <v>151</v>
      </c>
      <c r="J144" s="191"/>
    </row>
    <row r="145" spans="1:10" ht="15.75" thickBot="1">
      <c r="A145" s="211"/>
      <c r="B145" s="22" t="s">
        <v>67</v>
      </c>
      <c r="C145" s="150"/>
      <c r="D145" s="151"/>
      <c r="E145" s="138">
        <f t="shared" si="7"/>
        <v>15000</v>
      </c>
      <c r="F145" s="66">
        <v>15000</v>
      </c>
      <c r="G145" s="8">
        <v>0</v>
      </c>
      <c r="H145" s="242" t="s">
        <v>143</v>
      </c>
      <c r="J145" s="191"/>
    </row>
    <row r="146" spans="1:10" ht="15.75" thickBot="1">
      <c r="A146" s="211"/>
      <c r="B146" s="44" t="s">
        <v>146</v>
      </c>
      <c r="C146" s="150"/>
      <c r="D146" s="151"/>
      <c r="E146" s="138">
        <f t="shared" si="7"/>
        <v>5000</v>
      </c>
      <c r="F146" s="66">
        <v>5000</v>
      </c>
      <c r="G146" s="8">
        <v>0</v>
      </c>
      <c r="H146" s="242" t="s">
        <v>157</v>
      </c>
      <c r="J146" s="191"/>
    </row>
    <row r="147" spans="1:10" ht="30.75" thickBot="1">
      <c r="A147" s="211"/>
      <c r="B147" s="44" t="s">
        <v>95</v>
      </c>
      <c r="C147" s="150"/>
      <c r="D147" s="151"/>
      <c r="E147" s="32">
        <f aca="true" t="shared" si="8" ref="E147:E157">SUM(F147:G147)</f>
        <v>60000</v>
      </c>
      <c r="F147" s="66">
        <v>60000</v>
      </c>
      <c r="G147" s="8">
        <v>0</v>
      </c>
      <c r="H147" s="242" t="s">
        <v>150</v>
      </c>
      <c r="J147" s="191"/>
    </row>
    <row r="148" spans="1:10" ht="12.75" hidden="1">
      <c r="A148" s="707" t="s">
        <v>6</v>
      </c>
      <c r="B148" s="709" t="s">
        <v>7</v>
      </c>
      <c r="C148" s="197" t="s">
        <v>18</v>
      </c>
      <c r="D148" s="198" t="s">
        <v>8</v>
      </c>
      <c r="E148" s="711" t="s">
        <v>96</v>
      </c>
      <c r="F148" s="714" t="s">
        <v>19</v>
      </c>
      <c r="G148" s="715"/>
      <c r="H148" s="242"/>
      <c r="J148" s="191"/>
    </row>
    <row r="149" spans="1:10" ht="12.75" hidden="1">
      <c r="A149" s="708"/>
      <c r="B149" s="710"/>
      <c r="C149" s="201" t="s">
        <v>0</v>
      </c>
      <c r="D149" s="202" t="s">
        <v>14</v>
      </c>
      <c r="E149" s="712"/>
      <c r="F149" s="716" t="s">
        <v>54</v>
      </c>
      <c r="G149" s="718" t="s">
        <v>55</v>
      </c>
      <c r="H149" s="242"/>
      <c r="J149" s="191"/>
    </row>
    <row r="150" spans="1:10" ht="12.75" hidden="1">
      <c r="A150" s="708"/>
      <c r="B150" s="710"/>
      <c r="C150" s="201"/>
      <c r="D150" s="202" t="s">
        <v>15</v>
      </c>
      <c r="E150" s="713"/>
      <c r="F150" s="717"/>
      <c r="G150" s="719"/>
      <c r="H150" s="242"/>
      <c r="J150" s="191"/>
    </row>
    <row r="151" spans="1:10" ht="15.75">
      <c r="A151" s="280"/>
      <c r="B151" s="142" t="s">
        <v>58</v>
      </c>
      <c r="C151" s="136"/>
      <c r="D151" s="137"/>
      <c r="E151" s="138">
        <f>SUM(F151:G151)</f>
        <v>12000</v>
      </c>
      <c r="F151" s="143">
        <v>12000</v>
      </c>
      <c r="G151" s="19">
        <v>0</v>
      </c>
      <c r="H151" s="242" t="s">
        <v>152</v>
      </c>
      <c r="J151" s="191"/>
    </row>
    <row r="152" spans="1:10" ht="15.75" hidden="1" thickBot="1">
      <c r="A152" s="211"/>
      <c r="B152" s="159" t="s">
        <v>58</v>
      </c>
      <c r="C152" s="150"/>
      <c r="D152" s="151"/>
      <c r="E152" s="32">
        <f t="shared" si="8"/>
        <v>0</v>
      </c>
      <c r="F152" s="66">
        <v>0</v>
      </c>
      <c r="G152" s="8">
        <v>0</v>
      </c>
      <c r="H152" s="242" t="s">
        <v>69</v>
      </c>
      <c r="J152" s="191"/>
    </row>
    <row r="153" spans="1:10" ht="18.75" customHeight="1" thickBot="1">
      <c r="A153" s="211"/>
      <c r="B153" s="158" t="s">
        <v>153</v>
      </c>
      <c r="C153" s="150"/>
      <c r="D153" s="151"/>
      <c r="E153" s="32">
        <f t="shared" si="8"/>
        <v>5500</v>
      </c>
      <c r="F153" s="66">
        <f>5000+500</f>
        <v>5500</v>
      </c>
      <c r="G153" s="8">
        <v>0</v>
      </c>
      <c r="H153" s="242" t="s">
        <v>154</v>
      </c>
      <c r="J153" s="191"/>
    </row>
    <row r="154" spans="1:10" ht="15.75" hidden="1" thickBot="1">
      <c r="A154" s="211"/>
      <c r="B154" s="159" t="s">
        <v>94</v>
      </c>
      <c r="C154" s="150"/>
      <c r="D154" s="151"/>
      <c r="E154" s="32">
        <f t="shared" si="8"/>
        <v>0</v>
      </c>
      <c r="F154" s="66">
        <v>0</v>
      </c>
      <c r="G154" s="8">
        <v>0</v>
      </c>
      <c r="J154" s="191"/>
    </row>
    <row r="155" spans="1:10" ht="31.5" customHeight="1" hidden="1" thickBot="1">
      <c r="A155" s="211"/>
      <c r="B155" s="159" t="s">
        <v>102</v>
      </c>
      <c r="C155" s="150"/>
      <c r="D155" s="151"/>
      <c r="E155" s="32">
        <f t="shared" si="8"/>
        <v>0</v>
      </c>
      <c r="F155" s="66">
        <v>0</v>
      </c>
      <c r="G155" s="8">
        <v>0</v>
      </c>
      <c r="J155" s="191"/>
    </row>
    <row r="156" spans="1:10" ht="18" customHeight="1" thickBot="1">
      <c r="A156" s="216"/>
      <c r="B156" s="160" t="s">
        <v>73</v>
      </c>
      <c r="C156" s="150"/>
      <c r="D156" s="151"/>
      <c r="E156" s="70">
        <f t="shared" si="8"/>
        <v>6000</v>
      </c>
      <c r="F156" s="69">
        <v>6000</v>
      </c>
      <c r="G156" s="71">
        <v>0</v>
      </c>
      <c r="H156" s="194" t="s">
        <v>161</v>
      </c>
      <c r="J156" s="191"/>
    </row>
    <row r="157" spans="1:8" s="191" customFormat="1" ht="13.5" hidden="1" thickBot="1">
      <c r="A157" s="238"/>
      <c r="B157" s="216" t="s">
        <v>28</v>
      </c>
      <c r="C157" s="243">
        <v>1500</v>
      </c>
      <c r="D157" s="244">
        <v>1500</v>
      </c>
      <c r="E157" s="245">
        <f t="shared" si="8"/>
        <v>0</v>
      </c>
      <c r="F157" s="246">
        <v>0</v>
      </c>
      <c r="G157" s="247">
        <v>0</v>
      </c>
      <c r="H157" s="248"/>
    </row>
    <row r="158" spans="1:8" s="191" customFormat="1" ht="5.25" customHeight="1">
      <c r="A158" s="189"/>
      <c r="B158" s="189"/>
      <c r="D158" s="192"/>
      <c r="E158" s="192"/>
      <c r="H158" s="248"/>
    </row>
    <row r="159" spans="1:8" s="191" customFormat="1" ht="16.5" thickBot="1">
      <c r="A159" s="746" t="s">
        <v>17</v>
      </c>
      <c r="B159" s="746"/>
      <c r="C159" s="249"/>
      <c r="D159" s="168"/>
      <c r="E159" s="291">
        <f>SUM(E111+E96+E89+E80+E48+E7+E131+E142+E86+E102+E109+E77)</f>
        <v>5621927</v>
      </c>
      <c r="F159" s="291">
        <f>SUM(F111+F96+F89+F80+F48+F7+F131+F142+F86+F102+F109+F77)</f>
        <v>4821927</v>
      </c>
      <c r="G159" s="250">
        <f>SUM(G111+G96+G89+G80+G48+G7+G131+G142+G86+G102)</f>
        <v>800000</v>
      </c>
      <c r="H159" s="248"/>
    </row>
    <row r="160" ht="13.5" thickTop="1">
      <c r="D160" s="192" t="s">
        <v>16</v>
      </c>
    </row>
    <row r="161" ht="15">
      <c r="C161" s="251"/>
    </row>
    <row r="162" ht="12.75">
      <c r="E162" s="191"/>
    </row>
    <row r="163" ht="12.75">
      <c r="E163" s="191"/>
    </row>
    <row r="165" ht="12.75">
      <c r="J165" s="192" t="s">
        <v>39</v>
      </c>
    </row>
    <row r="166" spans="7:10" ht="12.75">
      <c r="G166" s="252">
        <f>SUM(F159:G159)</f>
        <v>5621927</v>
      </c>
      <c r="J166" s="191">
        <f>SUM(G166)-E159</f>
        <v>0</v>
      </c>
    </row>
  </sheetData>
  <sheetProtection/>
  <mergeCells count="50">
    <mergeCell ref="E2:G2"/>
    <mergeCell ref="F10:F13"/>
    <mergeCell ref="E114:E116"/>
    <mergeCell ref="F114:G114"/>
    <mergeCell ref="F115:F116"/>
    <mergeCell ref="G115:G116"/>
    <mergeCell ref="F17:F18"/>
    <mergeCell ref="G93:G94"/>
    <mergeCell ref="E92:E94"/>
    <mergeCell ref="F92:G92"/>
    <mergeCell ref="A4:A6"/>
    <mergeCell ref="B4:B6"/>
    <mergeCell ref="E4:E6"/>
    <mergeCell ref="F4:G4"/>
    <mergeCell ref="F5:F6"/>
    <mergeCell ref="G5:G6"/>
    <mergeCell ref="A159:B159"/>
    <mergeCell ref="A33:A35"/>
    <mergeCell ref="B33:B35"/>
    <mergeCell ref="A92:A94"/>
    <mergeCell ref="B92:B94"/>
    <mergeCell ref="A66:A68"/>
    <mergeCell ref="B66:B68"/>
    <mergeCell ref="A128:A130"/>
    <mergeCell ref="A114:A116"/>
    <mergeCell ref="B114:B116"/>
    <mergeCell ref="E128:E130"/>
    <mergeCell ref="B17:B18"/>
    <mergeCell ref="E17:E18"/>
    <mergeCell ref="B10:B13"/>
    <mergeCell ref="E10:E13"/>
    <mergeCell ref="E33:E35"/>
    <mergeCell ref="F33:G33"/>
    <mergeCell ref="F34:F35"/>
    <mergeCell ref="G34:G35"/>
    <mergeCell ref="F93:F94"/>
    <mergeCell ref="E66:E68"/>
    <mergeCell ref="F66:G66"/>
    <mergeCell ref="F67:F68"/>
    <mergeCell ref="G67:G68"/>
    <mergeCell ref="F128:G128"/>
    <mergeCell ref="F129:F130"/>
    <mergeCell ref="A148:A150"/>
    <mergeCell ref="B148:B150"/>
    <mergeCell ref="E148:E150"/>
    <mergeCell ref="F148:G148"/>
    <mergeCell ref="F149:F150"/>
    <mergeCell ref="G149:G150"/>
    <mergeCell ref="G129:G130"/>
    <mergeCell ref="B128:B130"/>
  </mergeCells>
  <conditionalFormatting sqref="I1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{c12fa8bc-d176-4970-8b9a-c80abf90f956}</x14:id>
        </ext>
      </extLst>
    </cfRule>
  </conditionalFormatting>
  <conditionalFormatting sqref="A7:A43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{4ea08106-7bcb-497c-98e2-b63d06682231}</x14:id>
        </ext>
      </extLst>
    </cfRule>
  </conditionalFormatting>
  <printOptions horizontalCentered="1"/>
  <pageMargins left="0.1968503937007874" right="0.1968503937007874" top="0.34" bottom="0.3937007874015748" header="0.17" footer="0.1968503937007874"/>
  <pageSetup fitToHeight="2" horizontalDpi="600" verticalDpi="600" orientation="landscape" pageOrder="overThenDown" paperSize="9" scale="70" r:id="rId1"/>
  <headerFooter alignWithMargins="0"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2fa8bc-d176-4970-8b9a-c80abf90f9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I16</xm:sqref>
        </x14:conditionalFormatting>
        <x14:conditionalFormatting xmlns:xm="http://schemas.microsoft.com/office/excel/2006/main">
          <x14:cfRule type="dataBar" id="{4ea08106-7bcb-497c-98e2-b63d066822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98">
      <selection activeCell="F128" sqref="F128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E1" s="858" t="s">
        <v>198</v>
      </c>
      <c r="F1" s="858"/>
      <c r="G1" s="858"/>
    </row>
    <row r="2" spans="1:7" ht="18">
      <c r="A2" s="284"/>
      <c r="B2" s="364" t="s">
        <v>167</v>
      </c>
      <c r="E2" s="859" t="s">
        <v>213</v>
      </c>
      <c r="F2" s="860"/>
      <c r="G2" s="860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SUM(E8:E49)</f>
        <v>613610</v>
      </c>
      <c r="F7" s="377">
        <f>SUM(F8:F49)</f>
        <v>613610</v>
      </c>
      <c r="G7" s="377">
        <f>SUM(G8:G48)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 aca="true" t="shared" si="0" ref="E14:E19"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684" customFormat="1" ht="18.75" customHeight="1">
      <c r="A15" s="682"/>
      <c r="B15" s="383" t="s">
        <v>207</v>
      </c>
      <c r="C15" s="379"/>
      <c r="D15" s="384"/>
      <c r="E15" s="381">
        <f t="shared" si="0"/>
        <v>11000</v>
      </c>
      <c r="F15" s="610">
        <f>0+11000</f>
        <v>11000</v>
      </c>
      <c r="G15" s="393">
        <v>0</v>
      </c>
      <c r="H15" s="366" t="s">
        <v>208</v>
      </c>
      <c r="I15" s="683"/>
    </row>
    <row r="16" spans="1:9" s="305" customFormat="1" ht="20.25" customHeight="1">
      <c r="A16" s="320"/>
      <c r="B16" s="383" t="s">
        <v>126</v>
      </c>
      <c r="C16" s="379"/>
      <c r="D16" s="384"/>
      <c r="E16" s="381">
        <f t="shared" si="0"/>
        <v>65000</v>
      </c>
      <c r="F16" s="382">
        <v>65000</v>
      </c>
      <c r="G16" s="393">
        <v>0</v>
      </c>
      <c r="H16" s="207"/>
      <c r="I16" s="200"/>
    </row>
    <row r="17" spans="1:9" s="305" customFormat="1" ht="20.25" customHeight="1">
      <c r="A17" s="320"/>
      <c r="B17" s="383" t="s">
        <v>127</v>
      </c>
      <c r="C17" s="379"/>
      <c r="D17" s="380"/>
      <c r="E17" s="381">
        <f t="shared" si="0"/>
        <v>334000</v>
      </c>
      <c r="F17" s="382">
        <f>100000-1700-1700+300000-20000-40000-10000+7400</f>
        <v>334000</v>
      </c>
      <c r="G17" s="382">
        <f>300000-300000</f>
        <v>0</v>
      </c>
      <c r="H17" s="207"/>
      <c r="I17" s="200"/>
    </row>
    <row r="18" spans="1:9" s="305" customFormat="1" ht="16.5" customHeight="1" hidden="1">
      <c r="A18" s="320"/>
      <c r="B18" s="378" t="s">
        <v>79</v>
      </c>
      <c r="C18" s="379"/>
      <c r="D18" s="384"/>
      <c r="E18" s="381">
        <f t="shared" si="0"/>
        <v>0</v>
      </c>
      <c r="F18" s="382">
        <v>0</v>
      </c>
      <c r="G18" s="382">
        <v>0</v>
      </c>
      <c r="H18" s="207"/>
      <c r="I18" s="200"/>
    </row>
    <row r="19" spans="1:9" s="305" customFormat="1" ht="11.25" customHeight="1" hidden="1">
      <c r="A19" s="320"/>
      <c r="B19" s="847" t="s">
        <v>80</v>
      </c>
      <c r="C19" s="379"/>
      <c r="D19" s="384"/>
      <c r="E19" s="849">
        <f t="shared" si="0"/>
        <v>0</v>
      </c>
      <c r="F19" s="851">
        <v>0</v>
      </c>
      <c r="G19" s="387">
        <v>0</v>
      </c>
      <c r="H19" s="207"/>
      <c r="I19" s="200"/>
    </row>
    <row r="20" spans="1:9" s="305" customFormat="1" ht="10.5" customHeight="1" hidden="1">
      <c r="A20" s="320"/>
      <c r="B20" s="848"/>
      <c r="C20" s="379"/>
      <c r="D20" s="384"/>
      <c r="E20" s="850"/>
      <c r="F20" s="852"/>
      <c r="G20" s="392"/>
      <c r="H20" s="207"/>
      <c r="I20" s="200"/>
    </row>
    <row r="21" spans="1:9" s="305" customFormat="1" ht="16.5" customHeight="1" hidden="1">
      <c r="A21" s="320"/>
      <c r="B21" s="394" t="s">
        <v>74</v>
      </c>
      <c r="C21" s="379"/>
      <c r="D21" s="384"/>
      <c r="E21" s="381">
        <f aca="true" t="shared" si="1" ref="E21:E31">SUM(F21:G21)</f>
        <v>0</v>
      </c>
      <c r="F21" s="382">
        <v>0</v>
      </c>
      <c r="G21" s="393">
        <v>0</v>
      </c>
      <c r="H21" s="207"/>
      <c r="I21" s="200"/>
    </row>
    <row r="22" spans="1:9" s="305" customFormat="1" ht="14.25" customHeight="1" hidden="1">
      <c r="A22" s="323"/>
      <c r="B22" s="604" t="s">
        <v>75</v>
      </c>
      <c r="C22" s="379"/>
      <c r="D22" s="384"/>
      <c r="E22" s="381">
        <f t="shared" si="1"/>
        <v>0</v>
      </c>
      <c r="F22" s="382">
        <v>0</v>
      </c>
      <c r="G22" s="382">
        <v>0</v>
      </c>
      <c r="H22" s="207"/>
      <c r="I22" s="200"/>
    </row>
    <row r="23" spans="1:9" s="305" customFormat="1" ht="16.5" customHeight="1" hidden="1">
      <c r="A23" s="323"/>
      <c r="B23" s="605" t="s">
        <v>81</v>
      </c>
      <c r="C23" s="379">
        <v>30000</v>
      </c>
      <c r="D23" s="380">
        <v>30000</v>
      </c>
      <c r="E23" s="381">
        <f t="shared" si="1"/>
        <v>0</v>
      </c>
      <c r="F23" s="382">
        <v>0</v>
      </c>
      <c r="G23" s="382">
        <v>0</v>
      </c>
      <c r="H23" s="207"/>
      <c r="I23" s="200"/>
    </row>
    <row r="24" spans="1:9" s="305" customFormat="1" ht="19.5" customHeight="1" hidden="1">
      <c r="A24" s="323"/>
      <c r="B24" s="395" t="s">
        <v>104</v>
      </c>
      <c r="C24" s="379">
        <v>83000</v>
      </c>
      <c r="D24" s="380">
        <v>83000</v>
      </c>
      <c r="E24" s="381">
        <f t="shared" si="1"/>
        <v>0</v>
      </c>
      <c r="F24" s="382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395" t="s">
        <v>76</v>
      </c>
      <c r="C25" s="379"/>
      <c r="D25" s="380"/>
      <c r="E25" s="381">
        <f t="shared" si="1"/>
        <v>0</v>
      </c>
      <c r="F25" s="379">
        <v>0</v>
      </c>
      <c r="G25" s="382">
        <v>0</v>
      </c>
      <c r="H25" s="207"/>
      <c r="I25" s="200"/>
    </row>
    <row r="26" spans="1:9" s="305" customFormat="1" ht="16.5" customHeight="1" hidden="1">
      <c r="A26" s="323"/>
      <c r="B26" s="606" t="s">
        <v>77</v>
      </c>
      <c r="C26" s="396"/>
      <c r="D26" s="607"/>
      <c r="E26" s="381">
        <f t="shared" si="1"/>
        <v>0</v>
      </c>
      <c r="F26" s="396">
        <v>0</v>
      </c>
      <c r="G26" s="387">
        <v>0</v>
      </c>
      <c r="H26" s="207"/>
      <c r="I26" s="200"/>
    </row>
    <row r="27" spans="1:9" s="305" customFormat="1" ht="15" hidden="1">
      <c r="A27" s="323"/>
      <c r="B27" s="395" t="s">
        <v>82</v>
      </c>
      <c r="C27" s="379"/>
      <c r="D27" s="380"/>
      <c r="E27" s="381">
        <f t="shared" si="1"/>
        <v>0</v>
      </c>
      <c r="F27" s="379">
        <v>0</v>
      </c>
      <c r="G27" s="382">
        <v>0</v>
      </c>
      <c r="H27" s="207"/>
      <c r="I27" s="200"/>
    </row>
    <row r="28" spans="1:9" s="305" customFormat="1" ht="27.75" customHeight="1" hidden="1">
      <c r="A28" s="323"/>
      <c r="B28" s="395" t="s">
        <v>50</v>
      </c>
      <c r="C28" s="397">
        <v>1000</v>
      </c>
      <c r="D28" s="398">
        <v>1000</v>
      </c>
      <c r="E28" s="399">
        <f t="shared" si="1"/>
        <v>0</v>
      </c>
      <c r="F28" s="397">
        <v>0</v>
      </c>
      <c r="G28" s="393"/>
      <c r="H28" s="207"/>
      <c r="I28" s="200"/>
    </row>
    <row r="29" spans="1:9" s="305" customFormat="1" ht="16.5" customHeight="1" hidden="1">
      <c r="A29" s="323"/>
      <c r="B29" s="395" t="s">
        <v>78</v>
      </c>
      <c r="C29" s="379"/>
      <c r="D29" s="380"/>
      <c r="E29" s="381">
        <f t="shared" si="1"/>
        <v>0</v>
      </c>
      <c r="F29" s="379">
        <v>0</v>
      </c>
      <c r="G29" s="382">
        <v>0</v>
      </c>
      <c r="H29" s="207"/>
      <c r="I29" s="200"/>
    </row>
    <row r="30" spans="1:7" ht="15.75" customHeight="1" hidden="1">
      <c r="A30" s="323"/>
      <c r="B30" s="608" t="s">
        <v>45</v>
      </c>
      <c r="C30" s="396"/>
      <c r="D30" s="607"/>
      <c r="E30" s="400">
        <f t="shared" si="1"/>
        <v>0</v>
      </c>
      <c r="F30" s="396">
        <v>0</v>
      </c>
      <c r="G30" s="387">
        <v>0</v>
      </c>
    </row>
    <row r="31" spans="1:7" ht="20.25" customHeight="1">
      <c r="A31" s="323"/>
      <c r="B31" s="609" t="s">
        <v>57</v>
      </c>
      <c r="C31" s="610"/>
      <c r="D31" s="610"/>
      <c r="E31" s="401">
        <f t="shared" si="1"/>
        <v>41054</v>
      </c>
      <c r="F31" s="610">
        <f>50000-1546-7400</f>
        <v>41054</v>
      </c>
      <c r="G31" s="382">
        <v>0</v>
      </c>
    </row>
    <row r="32" spans="1:7" ht="15" hidden="1">
      <c r="A32" s="323"/>
      <c r="B32" s="402"/>
      <c r="C32" s="403"/>
      <c r="D32" s="403"/>
      <c r="E32" s="404"/>
      <c r="F32" s="403"/>
      <c r="G32" s="405"/>
    </row>
    <row r="33" spans="1:7" s="313" customFormat="1" ht="18" customHeight="1" hidden="1">
      <c r="A33" s="323"/>
      <c r="B33" s="402"/>
      <c r="C33" s="403"/>
      <c r="D33" s="403"/>
      <c r="E33" s="404"/>
      <c r="F33" s="403"/>
      <c r="G33" s="405"/>
    </row>
    <row r="34" spans="1:7" s="313" customFormat="1" ht="15" hidden="1">
      <c r="A34" s="323"/>
      <c r="B34" s="402"/>
      <c r="C34" s="403"/>
      <c r="D34" s="403"/>
      <c r="E34" s="404"/>
      <c r="F34" s="403"/>
      <c r="G34" s="405"/>
    </row>
    <row r="35" spans="1:7" s="313" customFormat="1" ht="12.75" customHeight="1" hidden="1">
      <c r="A35" s="747" t="s">
        <v>6</v>
      </c>
      <c r="B35" s="810" t="s">
        <v>7</v>
      </c>
      <c r="C35" s="406" t="s">
        <v>18</v>
      </c>
      <c r="D35" s="407" t="s">
        <v>8</v>
      </c>
      <c r="E35" s="813" t="s">
        <v>5</v>
      </c>
      <c r="F35" s="816" t="s">
        <v>19</v>
      </c>
      <c r="G35" s="817"/>
    </row>
    <row r="36" spans="1:7" s="313" customFormat="1" ht="15.75" hidden="1">
      <c r="A36" s="777"/>
      <c r="B36" s="811"/>
      <c r="C36" s="408" t="s">
        <v>0</v>
      </c>
      <c r="D36" s="409" t="s">
        <v>14</v>
      </c>
      <c r="E36" s="814"/>
      <c r="F36" s="818" t="s">
        <v>13</v>
      </c>
      <c r="G36" s="820" t="s">
        <v>20</v>
      </c>
    </row>
    <row r="37" spans="1:7" s="313" customFormat="1" ht="16.5" hidden="1" thickBot="1">
      <c r="A37" s="777"/>
      <c r="B37" s="812"/>
      <c r="C37" s="410"/>
      <c r="D37" s="411" t="s">
        <v>15</v>
      </c>
      <c r="E37" s="815"/>
      <c r="F37" s="819"/>
      <c r="G37" s="821"/>
    </row>
    <row r="38" spans="1:7" s="313" customFormat="1" ht="15">
      <c r="A38" s="325"/>
      <c r="B38" s="412" t="s">
        <v>128</v>
      </c>
      <c r="C38" s="379"/>
      <c r="D38" s="380"/>
      <c r="E38" s="381">
        <f aca="true" t="shared" si="2" ref="E38:E45">SUM(F38:G38)</f>
        <v>66900</v>
      </c>
      <c r="F38" s="379">
        <v>66900</v>
      </c>
      <c r="G38" s="382">
        <v>0</v>
      </c>
    </row>
    <row r="39" spans="1:7" s="313" customFormat="1" ht="19.5" customHeight="1">
      <c r="A39" s="323"/>
      <c r="B39" s="412" t="s">
        <v>175</v>
      </c>
      <c r="C39" s="379"/>
      <c r="D39" s="380"/>
      <c r="E39" s="381">
        <f t="shared" si="2"/>
        <v>14056</v>
      </c>
      <c r="F39" s="379">
        <f>12510+1546</f>
        <v>14056</v>
      </c>
      <c r="G39" s="382">
        <v>0</v>
      </c>
    </row>
    <row r="40" spans="1:7" s="313" customFormat="1" ht="15" customHeight="1" hidden="1">
      <c r="A40" s="323"/>
      <c r="B40" s="412" t="s">
        <v>83</v>
      </c>
      <c r="C40" s="379"/>
      <c r="D40" s="380"/>
      <c r="E40" s="381">
        <f t="shared" si="2"/>
        <v>0</v>
      </c>
      <c r="F40" s="379">
        <v>0</v>
      </c>
      <c r="G40" s="382">
        <v>0</v>
      </c>
    </row>
    <row r="41" spans="1:7" s="313" customFormat="1" ht="15" customHeight="1" hidden="1">
      <c r="A41" s="323"/>
      <c r="B41" s="413" t="s">
        <v>84</v>
      </c>
      <c r="C41" s="379"/>
      <c r="D41" s="380"/>
      <c r="E41" s="381">
        <f t="shared" si="2"/>
        <v>0</v>
      </c>
      <c r="F41" s="379">
        <v>0</v>
      </c>
      <c r="G41" s="382"/>
    </row>
    <row r="42" spans="1:7" s="313" customFormat="1" ht="15.75" customHeight="1" hidden="1" thickBot="1">
      <c r="A42" s="326"/>
      <c r="B42" s="414" t="s">
        <v>98</v>
      </c>
      <c r="C42" s="379">
        <v>44900</v>
      </c>
      <c r="D42" s="380">
        <v>44900</v>
      </c>
      <c r="E42" s="381">
        <f t="shared" si="2"/>
        <v>0</v>
      </c>
      <c r="F42" s="379">
        <v>0</v>
      </c>
      <c r="G42" s="382">
        <v>0</v>
      </c>
    </row>
    <row r="43" spans="1:7" s="313" customFormat="1" ht="13.5" customHeight="1" hidden="1">
      <c r="A43" s="320"/>
      <c r="B43" s="415" t="s">
        <v>1</v>
      </c>
      <c r="C43" s="379"/>
      <c r="D43" s="380"/>
      <c r="E43" s="381">
        <f t="shared" si="2"/>
        <v>0</v>
      </c>
      <c r="F43" s="379">
        <v>0</v>
      </c>
      <c r="G43" s="382">
        <v>0</v>
      </c>
    </row>
    <row r="44" spans="1:7" s="313" customFormat="1" ht="13.5" customHeight="1" hidden="1" thickBot="1">
      <c r="A44" s="327"/>
      <c r="B44" s="416" t="s">
        <v>2</v>
      </c>
      <c r="C44" s="379"/>
      <c r="D44" s="380"/>
      <c r="E44" s="400">
        <f t="shared" si="2"/>
        <v>0</v>
      </c>
      <c r="F44" s="396">
        <v>0</v>
      </c>
      <c r="G44" s="387"/>
    </row>
    <row r="45" spans="1:8" s="313" customFormat="1" ht="15" customHeight="1" hidden="1" thickBot="1">
      <c r="A45" s="215" t="s">
        <v>43</v>
      </c>
      <c r="B45" s="417" t="s">
        <v>71</v>
      </c>
      <c r="C45" s="403"/>
      <c r="D45" s="418"/>
      <c r="E45" s="381">
        <f t="shared" si="2"/>
        <v>0</v>
      </c>
      <c r="F45" s="379">
        <v>0</v>
      </c>
      <c r="G45" s="419">
        <v>0</v>
      </c>
      <c r="H45" s="313" t="s">
        <v>72</v>
      </c>
    </row>
    <row r="46" spans="1:7" s="313" customFormat="1" ht="16.5" customHeight="1" hidden="1">
      <c r="A46" s="320"/>
      <c r="B46" s="420"/>
      <c r="C46" s="403"/>
      <c r="D46" s="418"/>
      <c r="E46" s="418"/>
      <c r="F46" s="403"/>
      <c r="G46" s="405"/>
    </row>
    <row r="47" spans="1:7" s="313" customFormat="1" ht="15.75" customHeight="1" hidden="1" thickBot="1">
      <c r="A47" s="328"/>
      <c r="B47" s="421" t="s">
        <v>51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s="313" customFormat="1" ht="15.75" customHeight="1" hidden="1" thickBot="1">
      <c r="A48" s="328"/>
      <c r="B48" s="421" t="s">
        <v>52</v>
      </c>
      <c r="C48" s="403"/>
      <c r="D48" s="418"/>
      <c r="E48" s="422">
        <f>SUM(F48:G48)</f>
        <v>0</v>
      </c>
      <c r="F48" s="423">
        <v>0</v>
      </c>
      <c r="G48" s="424">
        <v>0</v>
      </c>
    </row>
    <row r="49" spans="1:7" s="313" customFormat="1" ht="15.75" thickBot="1">
      <c r="A49" s="328"/>
      <c r="B49" s="425" t="s">
        <v>176</v>
      </c>
      <c r="C49" s="403"/>
      <c r="D49" s="418"/>
      <c r="E49" s="381">
        <f>SUM(F49:G49)</f>
        <v>34000</v>
      </c>
      <c r="F49" s="379">
        <v>34000</v>
      </c>
      <c r="G49" s="382">
        <v>0</v>
      </c>
    </row>
    <row r="50" spans="1:7" s="313" customFormat="1" ht="18" customHeight="1" thickBot="1">
      <c r="A50" s="186" t="s">
        <v>11</v>
      </c>
      <c r="B50" s="426"/>
      <c r="C50" s="427"/>
      <c r="D50" s="428"/>
      <c r="E50" s="429">
        <f>SUM(E51:E71)+E73+E78</f>
        <v>2376938</v>
      </c>
      <c r="F50" s="429">
        <f>SUM(F51:F71)+F73+F78</f>
        <v>2376938</v>
      </c>
      <c r="G50" s="429">
        <f>SUM(G51:G71)+G73+G78</f>
        <v>0</v>
      </c>
    </row>
    <row r="51" spans="1:7" s="313" customFormat="1" ht="32.25" customHeight="1">
      <c r="A51" s="181" t="s">
        <v>3</v>
      </c>
      <c r="B51" s="430" t="s">
        <v>114</v>
      </c>
      <c r="C51" s="397"/>
      <c r="D51" s="431"/>
      <c r="E51" s="432">
        <f aca="true" t="shared" si="3" ref="E51:E67">SUM(F51:G51)</f>
        <v>500000</v>
      </c>
      <c r="F51" s="432">
        <f>0+500000</f>
        <v>500000</v>
      </c>
      <c r="G51" s="433">
        <f>500000-500000</f>
        <v>0</v>
      </c>
    </row>
    <row r="52" spans="1:7" s="313" customFormat="1" ht="33.75" customHeight="1">
      <c r="A52" s="217"/>
      <c r="B52" s="434" t="s">
        <v>168</v>
      </c>
      <c r="C52" s="435"/>
      <c r="D52" s="435"/>
      <c r="E52" s="401">
        <f t="shared" si="3"/>
        <v>10488</v>
      </c>
      <c r="F52" s="435">
        <v>10488</v>
      </c>
      <c r="G52" s="382">
        <v>0</v>
      </c>
    </row>
    <row r="53" spans="1:7" s="313" customFormat="1" ht="32.25" customHeight="1" thickBot="1">
      <c r="A53" s="218"/>
      <c r="B53" s="436" t="s">
        <v>184</v>
      </c>
      <c r="C53" s="437">
        <v>15000</v>
      </c>
      <c r="D53" s="438">
        <v>15000</v>
      </c>
      <c r="E53" s="439">
        <f t="shared" si="3"/>
        <v>50000</v>
      </c>
      <c r="F53" s="439">
        <v>50000</v>
      </c>
      <c r="G53" s="440">
        <v>0</v>
      </c>
    </row>
    <row r="54" spans="1:8" s="313" customFormat="1" ht="15.75" customHeight="1">
      <c r="A54" s="219" t="s">
        <v>44</v>
      </c>
      <c r="B54" s="441" t="s">
        <v>129</v>
      </c>
      <c r="C54" s="397">
        <v>15000</v>
      </c>
      <c r="D54" s="398">
        <v>15000</v>
      </c>
      <c r="E54" s="399">
        <f t="shared" si="3"/>
        <v>37500</v>
      </c>
      <c r="F54" s="442">
        <f>50000-12500</f>
        <v>37500</v>
      </c>
      <c r="G54" s="443">
        <v>0</v>
      </c>
      <c r="H54" s="335"/>
    </row>
    <row r="55" spans="1:8" s="313" customFormat="1" ht="15" customHeight="1">
      <c r="A55" s="221"/>
      <c r="B55" s="413" t="s">
        <v>130</v>
      </c>
      <c r="C55" s="379"/>
      <c r="D55" s="380"/>
      <c r="E55" s="381">
        <f t="shared" si="3"/>
        <v>10000</v>
      </c>
      <c r="F55" s="444">
        <v>10000</v>
      </c>
      <c r="G55" s="445">
        <v>0</v>
      </c>
      <c r="H55" s="313" t="s">
        <v>131</v>
      </c>
    </row>
    <row r="56" spans="1:8" s="313" customFormat="1" ht="16.5" customHeight="1">
      <c r="A56" s="222"/>
      <c r="B56" s="394" t="s">
        <v>132</v>
      </c>
      <c r="C56" s="379"/>
      <c r="D56" s="380"/>
      <c r="E56" s="381">
        <f t="shared" si="3"/>
        <v>40500</v>
      </c>
      <c r="F56" s="444">
        <f>40000+500</f>
        <v>40500</v>
      </c>
      <c r="G56" s="445">
        <v>0</v>
      </c>
      <c r="H56" s="313" t="s">
        <v>133</v>
      </c>
    </row>
    <row r="57" spans="1:8" s="313" customFormat="1" ht="18" customHeight="1">
      <c r="A57" s="222"/>
      <c r="B57" s="394" t="s">
        <v>68</v>
      </c>
      <c r="C57" s="379"/>
      <c r="D57" s="380"/>
      <c r="E57" s="381">
        <f t="shared" si="3"/>
        <v>18000</v>
      </c>
      <c r="F57" s="444">
        <f>14000+4000</f>
        <v>18000</v>
      </c>
      <c r="G57" s="445">
        <v>0</v>
      </c>
      <c r="H57" s="313" t="s">
        <v>134</v>
      </c>
    </row>
    <row r="58" spans="1:8" s="366" customFormat="1" ht="16.5" customHeight="1">
      <c r="A58" s="685"/>
      <c r="B58" s="378" t="s">
        <v>149</v>
      </c>
      <c r="C58" s="435"/>
      <c r="D58" s="435"/>
      <c r="E58" s="401">
        <f t="shared" si="3"/>
        <v>62500</v>
      </c>
      <c r="F58" s="435">
        <f>66000-3500</f>
        <v>62500</v>
      </c>
      <c r="G58" s="382">
        <v>0</v>
      </c>
      <c r="H58" s="366" t="s">
        <v>135</v>
      </c>
    </row>
    <row r="59" spans="1:7" s="313" customFormat="1" ht="18" customHeight="1">
      <c r="A59" s="223"/>
      <c r="B59" s="434" t="s">
        <v>123</v>
      </c>
      <c r="C59" s="435"/>
      <c r="D59" s="435"/>
      <c r="E59" s="401">
        <f t="shared" si="3"/>
        <v>25000</v>
      </c>
      <c r="F59" s="435">
        <v>25000</v>
      </c>
      <c r="G59" s="382">
        <v>0</v>
      </c>
    </row>
    <row r="60" spans="1:7" s="313" customFormat="1" ht="16.5" customHeight="1">
      <c r="A60" s="223"/>
      <c r="B60" s="434" t="s">
        <v>115</v>
      </c>
      <c r="C60" s="435"/>
      <c r="D60" s="435"/>
      <c r="E60" s="401">
        <f t="shared" si="3"/>
        <v>15000</v>
      </c>
      <c r="F60" s="435">
        <v>15000</v>
      </c>
      <c r="G60" s="382">
        <v>0</v>
      </c>
    </row>
    <row r="61" spans="1:7" s="313" customFormat="1" ht="16.5" customHeight="1">
      <c r="A61" s="223"/>
      <c r="B61" s="434" t="s">
        <v>182</v>
      </c>
      <c r="C61" s="435"/>
      <c r="D61" s="435"/>
      <c r="E61" s="401">
        <f t="shared" si="3"/>
        <v>381000</v>
      </c>
      <c r="F61" s="435">
        <v>381000</v>
      </c>
      <c r="G61" s="382">
        <v>0</v>
      </c>
    </row>
    <row r="62" spans="1:8" s="313" customFormat="1" ht="16.5" customHeight="1">
      <c r="A62" s="223"/>
      <c r="B62" s="434" t="s">
        <v>124</v>
      </c>
      <c r="C62" s="435">
        <v>12500</v>
      </c>
      <c r="D62" s="435">
        <v>12500</v>
      </c>
      <c r="E62" s="401">
        <f t="shared" si="3"/>
        <v>0</v>
      </c>
      <c r="F62" s="435">
        <v>0</v>
      </c>
      <c r="G62" s="382">
        <v>0</v>
      </c>
      <c r="H62" s="313" t="s">
        <v>70</v>
      </c>
    </row>
    <row r="63" spans="1:7" s="313" customFormat="1" ht="16.5" customHeight="1">
      <c r="A63" s="223"/>
      <c r="B63" s="434" t="s">
        <v>180</v>
      </c>
      <c r="C63" s="435"/>
      <c r="D63" s="435"/>
      <c r="E63" s="401">
        <f t="shared" si="3"/>
        <v>3950</v>
      </c>
      <c r="F63" s="435">
        <v>3950</v>
      </c>
      <c r="G63" s="382"/>
    </row>
    <row r="64" spans="1:7" s="313" customFormat="1" ht="16.5" customHeight="1">
      <c r="A64" s="223"/>
      <c r="B64" s="434" t="s">
        <v>181</v>
      </c>
      <c r="C64" s="435"/>
      <c r="D64" s="435"/>
      <c r="E64" s="401">
        <f t="shared" si="3"/>
        <v>0</v>
      </c>
      <c r="F64" s="435">
        <f>3050-3050</f>
        <v>0</v>
      </c>
      <c r="G64" s="382"/>
    </row>
    <row r="65" spans="1:7" s="313" customFormat="1" ht="18" customHeight="1">
      <c r="A65" s="223"/>
      <c r="B65" s="434" t="s">
        <v>136</v>
      </c>
      <c r="C65" s="435">
        <v>12500</v>
      </c>
      <c r="D65" s="435">
        <v>12500</v>
      </c>
      <c r="E65" s="401">
        <f t="shared" si="3"/>
        <v>0</v>
      </c>
      <c r="F65" s="435">
        <f>105000-105000</f>
        <v>0</v>
      </c>
      <c r="G65" s="382">
        <v>0</v>
      </c>
    </row>
    <row r="66" spans="1:7" s="313" customFormat="1" ht="17.25" customHeight="1">
      <c r="A66" s="223"/>
      <c r="B66" s="336" t="s">
        <v>170</v>
      </c>
      <c r="C66" s="337"/>
      <c r="D66" s="337"/>
      <c r="E66" s="338">
        <f t="shared" si="3"/>
        <v>359700</v>
      </c>
      <c r="F66" s="337">
        <f>350000+10000-300</f>
        <v>359700</v>
      </c>
      <c r="G66" s="319">
        <v>0</v>
      </c>
    </row>
    <row r="67" spans="1:7" s="313" customFormat="1" ht="16.5" customHeight="1">
      <c r="A67" s="223"/>
      <c r="B67" s="434" t="s">
        <v>171</v>
      </c>
      <c r="C67" s="435"/>
      <c r="D67" s="435"/>
      <c r="E67" s="401">
        <f t="shared" si="3"/>
        <v>0</v>
      </c>
      <c r="F67" s="435">
        <f>160000-160000</f>
        <v>0</v>
      </c>
      <c r="G67" s="382">
        <v>0</v>
      </c>
    </row>
    <row r="68" spans="1:7" s="313" customFormat="1" ht="16.5" customHeight="1" hidden="1">
      <c r="A68" s="754" t="s">
        <v>6</v>
      </c>
      <c r="B68" s="822" t="s">
        <v>7</v>
      </c>
      <c r="C68" s="446" t="s">
        <v>18</v>
      </c>
      <c r="D68" s="446" t="s">
        <v>8</v>
      </c>
      <c r="E68" s="824" t="s">
        <v>47</v>
      </c>
      <c r="F68" s="826" t="s">
        <v>19</v>
      </c>
      <c r="G68" s="827"/>
    </row>
    <row r="69" spans="1:7" s="313" customFormat="1" ht="16.5" customHeight="1" hidden="1">
      <c r="A69" s="777"/>
      <c r="B69" s="823"/>
      <c r="C69" s="446" t="s">
        <v>0</v>
      </c>
      <c r="D69" s="446" t="s">
        <v>14</v>
      </c>
      <c r="E69" s="825"/>
      <c r="F69" s="828" t="s">
        <v>13</v>
      </c>
      <c r="G69" s="829" t="s">
        <v>20</v>
      </c>
    </row>
    <row r="70" spans="1:7" s="313" customFormat="1" ht="16.5" customHeight="1" hidden="1">
      <c r="A70" s="778"/>
      <c r="B70" s="823"/>
      <c r="C70" s="446"/>
      <c r="D70" s="446" t="s">
        <v>15</v>
      </c>
      <c r="E70" s="825"/>
      <c r="F70" s="825"/>
      <c r="G70" s="830"/>
    </row>
    <row r="71" spans="1:7" s="313" customFormat="1" ht="16.5" customHeight="1" hidden="1">
      <c r="A71" s="325"/>
      <c r="B71" s="447" t="s">
        <v>105</v>
      </c>
      <c r="C71" s="448"/>
      <c r="D71" s="448"/>
      <c r="E71" s="449">
        <f>SUM(F71:G71)</f>
        <v>0</v>
      </c>
      <c r="F71" s="448">
        <v>0</v>
      </c>
      <c r="G71" s="450"/>
    </row>
    <row r="72" spans="1:7" s="313" customFormat="1" ht="19.5" customHeight="1" hidden="1">
      <c r="A72" s="223"/>
      <c r="B72" s="451"/>
      <c r="C72" s="365"/>
      <c r="D72" s="366"/>
      <c r="E72" s="366"/>
      <c r="F72" s="365"/>
      <c r="G72" s="365"/>
    </row>
    <row r="73" spans="1:7" s="313" customFormat="1" ht="39.75" customHeight="1" hidden="1">
      <c r="A73" s="182" t="s">
        <v>29</v>
      </c>
      <c r="B73" s="415" t="s">
        <v>34</v>
      </c>
      <c r="C73" s="452"/>
      <c r="D73" s="453"/>
      <c r="E73" s="442">
        <f>SUM(F73:G73)</f>
        <v>0</v>
      </c>
      <c r="F73" s="443">
        <f>SUM(F74:F77)</f>
        <v>0</v>
      </c>
      <c r="G73" s="443">
        <v>0</v>
      </c>
    </row>
    <row r="74" spans="1:7" s="313" customFormat="1" ht="16.5" customHeight="1" hidden="1">
      <c r="A74" s="224"/>
      <c r="B74" s="454" t="s">
        <v>30</v>
      </c>
      <c r="C74" s="455"/>
      <c r="D74" s="456"/>
      <c r="E74" s="457"/>
      <c r="F74" s="458">
        <v>0</v>
      </c>
      <c r="G74" s="458">
        <v>0</v>
      </c>
    </row>
    <row r="75" spans="1:7" s="313" customFormat="1" ht="16.5" customHeight="1" hidden="1">
      <c r="A75" s="208"/>
      <c r="B75" s="459" t="s">
        <v>31</v>
      </c>
      <c r="C75" s="460"/>
      <c r="D75" s="461"/>
      <c r="E75" s="462"/>
      <c r="F75" s="463">
        <v>0</v>
      </c>
      <c r="G75" s="463">
        <v>0</v>
      </c>
    </row>
    <row r="76" spans="1:7" s="313" customFormat="1" ht="16.5" customHeight="1" hidden="1">
      <c r="A76" s="208"/>
      <c r="B76" s="459" t="s">
        <v>32</v>
      </c>
      <c r="C76" s="460"/>
      <c r="D76" s="461"/>
      <c r="E76" s="462"/>
      <c r="F76" s="463">
        <v>0</v>
      </c>
      <c r="G76" s="463">
        <v>0</v>
      </c>
    </row>
    <row r="77" spans="1:7" s="313" customFormat="1" ht="16.5" customHeight="1" hidden="1">
      <c r="A77" s="225"/>
      <c r="B77" s="464" t="s">
        <v>33</v>
      </c>
      <c r="C77" s="465"/>
      <c r="D77" s="466"/>
      <c r="E77" s="467"/>
      <c r="F77" s="468">
        <v>0</v>
      </c>
      <c r="G77" s="468">
        <v>0</v>
      </c>
    </row>
    <row r="78" spans="1:7" s="366" customFormat="1" ht="16.5" customHeight="1" thickBot="1">
      <c r="A78" s="632"/>
      <c r="B78" s="336" t="s">
        <v>177</v>
      </c>
      <c r="C78" s="337"/>
      <c r="D78" s="337"/>
      <c r="E78" s="338">
        <f aca="true" t="shared" si="4" ref="E78:E85">SUM(F78:G78)</f>
        <v>863300</v>
      </c>
      <c r="F78" s="337">
        <f>865000-800000-10000+800000+8000+300</f>
        <v>863300</v>
      </c>
      <c r="G78" s="319">
        <f>0+800000-800000</f>
        <v>0</v>
      </c>
    </row>
    <row r="79" spans="1:7" s="313" customFormat="1" ht="16.5" customHeight="1" thickBot="1">
      <c r="A79" s="185" t="s">
        <v>137</v>
      </c>
      <c r="B79" s="469"/>
      <c r="C79" s="470"/>
      <c r="D79" s="471"/>
      <c r="E79" s="472">
        <f t="shared" si="4"/>
        <v>0</v>
      </c>
      <c r="F79" s="473">
        <f>SUM(F80:F81)</f>
        <v>0</v>
      </c>
      <c r="G79" s="474">
        <f>SUM(G80:G82)</f>
        <v>0</v>
      </c>
    </row>
    <row r="80" spans="1:7" s="313" customFormat="1" ht="30" customHeight="1" thickBot="1">
      <c r="A80" s="632" t="s">
        <v>138</v>
      </c>
      <c r="B80" s="425" t="s">
        <v>139</v>
      </c>
      <c r="C80" s="465"/>
      <c r="D80" s="466"/>
      <c r="E80" s="399">
        <f t="shared" si="4"/>
        <v>0</v>
      </c>
      <c r="F80" s="475">
        <f>15000-15000</f>
        <v>0</v>
      </c>
      <c r="G80" s="424">
        <v>0</v>
      </c>
    </row>
    <row r="81" spans="1:7" s="313" customFormat="1" ht="19.5" customHeight="1" thickBot="1">
      <c r="A81" s="633"/>
      <c r="B81" s="425" t="s">
        <v>140</v>
      </c>
      <c r="C81" s="465"/>
      <c r="D81" s="466"/>
      <c r="E81" s="399">
        <f t="shared" si="4"/>
        <v>0</v>
      </c>
      <c r="F81" s="475">
        <f>20000-20000</f>
        <v>0</v>
      </c>
      <c r="G81" s="424">
        <v>0</v>
      </c>
    </row>
    <row r="82" spans="1:7" s="313" customFormat="1" ht="15.75" customHeight="1" thickBot="1">
      <c r="A82" s="634" t="s">
        <v>36</v>
      </c>
      <c r="B82" s="476"/>
      <c r="C82" s="477"/>
      <c r="D82" s="477"/>
      <c r="E82" s="478">
        <f t="shared" si="4"/>
        <v>16500</v>
      </c>
      <c r="F82" s="479">
        <f>SUM(F83:F85)</f>
        <v>16500</v>
      </c>
      <c r="G82" s="479">
        <f>SUM(G83:G97)</f>
        <v>0</v>
      </c>
    </row>
    <row r="83" spans="1:7" s="313" customFormat="1" ht="17.25" customHeight="1" thickBot="1">
      <c r="A83" s="635" t="s">
        <v>4</v>
      </c>
      <c r="B83" s="480" t="s">
        <v>169</v>
      </c>
      <c r="C83" s="481"/>
      <c r="D83" s="482"/>
      <c r="E83" s="487">
        <f t="shared" si="4"/>
        <v>5100</v>
      </c>
      <c r="F83" s="488">
        <v>5100</v>
      </c>
      <c r="G83" s="485">
        <v>0</v>
      </c>
    </row>
    <row r="84" spans="1:7" s="366" customFormat="1" ht="15" customHeight="1" thickBot="1">
      <c r="A84" s="636"/>
      <c r="B84" s="480" t="s">
        <v>172</v>
      </c>
      <c r="C84" s="481"/>
      <c r="D84" s="482"/>
      <c r="E84" s="487">
        <f t="shared" si="4"/>
        <v>1400</v>
      </c>
      <c r="F84" s="488">
        <f>45000-25000-5000-13600</f>
        <v>1400</v>
      </c>
      <c r="G84" s="485">
        <v>0</v>
      </c>
    </row>
    <row r="85" spans="1:7" s="313" customFormat="1" ht="22.5" customHeight="1" thickBot="1">
      <c r="A85" s="637" t="s">
        <v>106</v>
      </c>
      <c r="B85" s="486" t="s">
        <v>125</v>
      </c>
      <c r="C85" s="481"/>
      <c r="D85" s="482"/>
      <c r="E85" s="487">
        <f t="shared" si="4"/>
        <v>10000</v>
      </c>
      <c r="F85" s="488">
        <v>10000</v>
      </c>
      <c r="G85" s="485">
        <v>0</v>
      </c>
    </row>
    <row r="86" spans="1:7" s="313" customFormat="1" ht="15" customHeight="1" hidden="1">
      <c r="A86" s="636"/>
      <c r="B86" s="489"/>
      <c r="C86" s="490"/>
      <c r="D86" s="490"/>
      <c r="E86" s="491"/>
      <c r="F86" s="492"/>
      <c r="G86" s="463"/>
    </row>
    <row r="87" spans="1:7" s="313" customFormat="1" ht="15" customHeight="1" hidden="1">
      <c r="A87" s="636"/>
      <c r="B87" s="489"/>
      <c r="C87" s="490"/>
      <c r="D87" s="490"/>
      <c r="E87" s="491"/>
      <c r="F87" s="492"/>
      <c r="G87" s="463"/>
    </row>
    <row r="88" spans="1:7" s="313" customFormat="1" ht="26.25" customHeight="1" thickBot="1">
      <c r="A88" s="634" t="s">
        <v>66</v>
      </c>
      <c r="B88" s="476"/>
      <c r="C88" s="477"/>
      <c r="D88" s="477"/>
      <c r="E88" s="478">
        <f aca="true" t="shared" si="5" ref="E88:E93">SUM(F88:G88)</f>
        <v>58600</v>
      </c>
      <c r="F88" s="479">
        <f>SUM(F89:F90)</f>
        <v>58600</v>
      </c>
      <c r="G88" s="479">
        <f>SUM(G89:G99)</f>
        <v>0</v>
      </c>
    </row>
    <row r="89" spans="1:7" s="313" customFormat="1" ht="31.5" customHeight="1" hidden="1">
      <c r="A89" s="638" t="s">
        <v>48</v>
      </c>
      <c r="B89" s="493" t="s">
        <v>49</v>
      </c>
      <c r="C89" s="437"/>
      <c r="D89" s="438"/>
      <c r="E89" s="494">
        <f t="shared" si="5"/>
        <v>0</v>
      </c>
      <c r="F89" s="437">
        <v>0</v>
      </c>
      <c r="G89" s="495">
        <v>0</v>
      </c>
    </row>
    <row r="90" spans="1:8" s="366" customFormat="1" ht="15.75" thickBot="1">
      <c r="A90" s="638" t="s">
        <v>65</v>
      </c>
      <c r="B90" s="493" t="s">
        <v>173</v>
      </c>
      <c r="C90" s="437"/>
      <c r="D90" s="438"/>
      <c r="E90" s="494">
        <f t="shared" si="5"/>
        <v>58600</v>
      </c>
      <c r="F90" s="437">
        <f>35000+25000-1400</f>
        <v>58600</v>
      </c>
      <c r="G90" s="495">
        <v>0</v>
      </c>
      <c r="H90" s="366" t="s">
        <v>109</v>
      </c>
    </row>
    <row r="91" spans="1:7" s="313" customFormat="1" ht="14.25" customHeight="1" thickBot="1">
      <c r="A91" s="634" t="s">
        <v>60</v>
      </c>
      <c r="B91" s="469"/>
      <c r="C91" s="470"/>
      <c r="D91" s="471"/>
      <c r="E91" s="472">
        <f t="shared" si="5"/>
        <v>342</v>
      </c>
      <c r="F91" s="473">
        <f>SUM(F92)</f>
        <v>342</v>
      </c>
      <c r="G91" s="474">
        <f>SUM(G92:G93)</f>
        <v>0</v>
      </c>
    </row>
    <row r="92" spans="1:7" s="313" customFormat="1" ht="16.5" customHeight="1" thickBot="1">
      <c r="A92" s="633" t="s">
        <v>61</v>
      </c>
      <c r="B92" s="425" t="s">
        <v>62</v>
      </c>
      <c r="C92" s="465"/>
      <c r="D92" s="466"/>
      <c r="E92" s="399">
        <f t="shared" si="5"/>
        <v>342</v>
      </c>
      <c r="F92" s="475">
        <f>342+10000-10000</f>
        <v>342</v>
      </c>
      <c r="G92" s="424">
        <v>0</v>
      </c>
    </row>
    <row r="93" spans="1:7" s="313" customFormat="1" ht="28.5" customHeight="1" hidden="1">
      <c r="A93" s="638" t="s">
        <v>48</v>
      </c>
      <c r="B93" s="493" t="s">
        <v>49</v>
      </c>
      <c r="C93" s="437"/>
      <c r="D93" s="438"/>
      <c r="E93" s="494">
        <f t="shared" si="5"/>
        <v>0</v>
      </c>
      <c r="F93" s="437">
        <v>0</v>
      </c>
      <c r="G93" s="495">
        <v>0</v>
      </c>
    </row>
    <row r="94" spans="1:7" s="313" customFormat="1" ht="12.75" customHeight="1" hidden="1">
      <c r="A94" s="855" t="s">
        <v>6</v>
      </c>
      <c r="B94" s="785" t="s">
        <v>7</v>
      </c>
      <c r="C94" s="406" t="s">
        <v>18</v>
      </c>
      <c r="D94" s="407" t="s">
        <v>8</v>
      </c>
      <c r="E94" s="787" t="s">
        <v>96</v>
      </c>
      <c r="F94" s="834" t="s">
        <v>19</v>
      </c>
      <c r="G94" s="835"/>
    </row>
    <row r="95" spans="1:7" s="313" customFormat="1" ht="12.75" customHeight="1" hidden="1">
      <c r="A95" s="856"/>
      <c r="B95" s="831"/>
      <c r="C95" s="408" t="s">
        <v>0</v>
      </c>
      <c r="D95" s="409" t="s">
        <v>14</v>
      </c>
      <c r="E95" s="788"/>
      <c r="F95" s="836" t="s">
        <v>54</v>
      </c>
      <c r="G95" s="838" t="s">
        <v>55</v>
      </c>
    </row>
    <row r="96" spans="1:7" s="313" customFormat="1" ht="10.5" customHeight="1" hidden="1">
      <c r="A96" s="857"/>
      <c r="B96" s="832"/>
      <c r="C96" s="410"/>
      <c r="D96" s="411" t="s">
        <v>15</v>
      </c>
      <c r="E96" s="833"/>
      <c r="F96" s="837"/>
      <c r="G96" s="839"/>
    </row>
    <row r="97" spans="1:7" s="313" customFormat="1" ht="20.25" customHeight="1" hidden="1">
      <c r="A97" s="639"/>
      <c r="B97" s="496" t="s">
        <v>38</v>
      </c>
      <c r="C97" s="460"/>
      <c r="D97" s="461"/>
      <c r="E97" s="483">
        <f aca="true" t="shared" si="6" ref="E97:E115">SUM(F97:G97)</f>
        <v>0</v>
      </c>
      <c r="F97" s="484">
        <v>0</v>
      </c>
      <c r="G97" s="485">
        <v>0</v>
      </c>
    </row>
    <row r="98" spans="1:9" s="304" customFormat="1" ht="16.5" customHeight="1" thickBot="1">
      <c r="A98" s="634" t="s">
        <v>12</v>
      </c>
      <c r="B98" s="497"/>
      <c r="C98" s="498">
        <v>12500</v>
      </c>
      <c r="D98" s="499">
        <v>12500</v>
      </c>
      <c r="E98" s="472">
        <f t="shared" si="6"/>
        <v>2058387</v>
      </c>
      <c r="F98" s="500">
        <f>SUM(F99:F109)+F110</f>
        <v>2058387</v>
      </c>
      <c r="G98" s="474">
        <f>SUM(G99:G103)</f>
        <v>0</v>
      </c>
      <c r="H98" s="207"/>
      <c r="I98" s="207"/>
    </row>
    <row r="99" spans="1:9" s="304" customFormat="1" ht="18.75" customHeight="1">
      <c r="A99" s="640" t="s">
        <v>26</v>
      </c>
      <c r="B99" s="416" t="s">
        <v>101</v>
      </c>
      <c r="C99" s="501"/>
      <c r="D99" s="502"/>
      <c r="E99" s="381">
        <f t="shared" si="6"/>
        <v>550000</v>
      </c>
      <c r="F99" s="503">
        <v>550000</v>
      </c>
      <c r="G99" s="445">
        <v>0</v>
      </c>
      <c r="H99" s="207"/>
      <c r="I99" s="207"/>
    </row>
    <row r="100" spans="1:9" s="304" customFormat="1" ht="21" customHeight="1">
      <c r="A100" s="641"/>
      <c r="B100" s="416" t="s">
        <v>112</v>
      </c>
      <c r="C100" s="501"/>
      <c r="D100" s="502"/>
      <c r="E100" s="381">
        <f t="shared" si="6"/>
        <v>1245687</v>
      </c>
      <c r="F100" s="503">
        <f>1205687+40000</f>
        <v>1245687</v>
      </c>
      <c r="G100" s="445">
        <v>0</v>
      </c>
      <c r="H100" s="207"/>
      <c r="I100" s="207"/>
    </row>
    <row r="101" spans="1:9" s="304" customFormat="1" ht="19.5" customHeight="1">
      <c r="A101" s="642"/>
      <c r="B101" s="415" t="s">
        <v>92</v>
      </c>
      <c r="C101" s="504">
        <v>47000</v>
      </c>
      <c r="D101" s="505">
        <v>47000</v>
      </c>
      <c r="E101" s="399">
        <f t="shared" si="6"/>
        <v>10000</v>
      </c>
      <c r="F101" s="506">
        <v>10000</v>
      </c>
      <c r="G101" s="443">
        <v>0</v>
      </c>
      <c r="H101" s="207"/>
      <c r="I101" s="207"/>
    </row>
    <row r="102" spans="1:9" s="304" customFormat="1" ht="18" customHeight="1" thickBot="1">
      <c r="A102" s="643"/>
      <c r="B102" s="507" t="s">
        <v>122</v>
      </c>
      <c r="C102" s="508"/>
      <c r="D102" s="508"/>
      <c r="E102" s="399">
        <f t="shared" si="6"/>
        <v>7000</v>
      </c>
      <c r="F102" s="506">
        <v>7000</v>
      </c>
      <c r="G102" s="443"/>
      <c r="H102" s="207"/>
      <c r="I102" s="207"/>
    </row>
    <row r="103" spans="1:9" s="304" customFormat="1" ht="17.25" customHeight="1">
      <c r="A103" s="644" t="s">
        <v>27</v>
      </c>
      <c r="B103" s="415" t="s">
        <v>174</v>
      </c>
      <c r="C103" s="501"/>
      <c r="D103" s="502"/>
      <c r="E103" s="444">
        <f t="shared" si="6"/>
        <v>240000</v>
      </c>
      <c r="F103" s="503">
        <f>210000+30000</f>
        <v>240000</v>
      </c>
      <c r="G103" s="445">
        <v>0</v>
      </c>
      <c r="H103" s="207"/>
      <c r="I103" s="207"/>
    </row>
    <row r="104" spans="1:7" ht="15.75" hidden="1">
      <c r="A104" s="645" t="s">
        <v>63</v>
      </c>
      <c r="B104" s="416"/>
      <c r="C104" s="379"/>
      <c r="D104" s="380"/>
      <c r="E104" s="509">
        <f t="shared" si="6"/>
        <v>0</v>
      </c>
      <c r="F104" s="510">
        <f>SUM(F105)</f>
        <v>0</v>
      </c>
      <c r="G104" s="511">
        <f>SUM(G105)</f>
        <v>0</v>
      </c>
    </row>
    <row r="105" spans="1:7" ht="24" customHeight="1" hidden="1">
      <c r="A105" s="646" t="s">
        <v>64</v>
      </c>
      <c r="B105" s="493" t="s">
        <v>87</v>
      </c>
      <c r="C105" s="437"/>
      <c r="D105" s="438"/>
      <c r="E105" s="512">
        <f t="shared" si="6"/>
        <v>0</v>
      </c>
      <c r="F105" s="439">
        <v>0</v>
      </c>
      <c r="G105" s="440">
        <v>0</v>
      </c>
    </row>
    <row r="106" spans="1:7" ht="24" customHeight="1" hidden="1">
      <c r="A106" s="647"/>
      <c r="B106" s="416" t="s">
        <v>110</v>
      </c>
      <c r="C106" s="501"/>
      <c r="D106" s="502"/>
      <c r="E106" s="444">
        <f t="shared" si="6"/>
        <v>0</v>
      </c>
      <c r="F106" s="503">
        <v>0</v>
      </c>
      <c r="G106" s="513">
        <v>0</v>
      </c>
    </row>
    <row r="107" spans="1:7" ht="16.5" customHeight="1" hidden="1">
      <c r="A107" s="648"/>
      <c r="B107" s="416" t="s">
        <v>111</v>
      </c>
      <c r="C107" s="501"/>
      <c r="D107" s="502"/>
      <c r="E107" s="444">
        <f t="shared" si="6"/>
        <v>0</v>
      </c>
      <c r="F107" s="503">
        <v>0</v>
      </c>
      <c r="G107" s="445">
        <v>0</v>
      </c>
    </row>
    <row r="108" spans="1:7" ht="18" customHeight="1" hidden="1">
      <c r="A108" s="649" t="s">
        <v>99</v>
      </c>
      <c r="B108" s="416" t="s">
        <v>100</v>
      </c>
      <c r="C108" s="501"/>
      <c r="D108" s="502"/>
      <c r="E108" s="444">
        <f t="shared" si="6"/>
        <v>0</v>
      </c>
      <c r="F108" s="503">
        <v>0</v>
      </c>
      <c r="G108" s="445">
        <v>0</v>
      </c>
    </row>
    <row r="109" spans="1:7" ht="18" customHeight="1" hidden="1">
      <c r="A109" s="650"/>
      <c r="B109" s="415" t="s">
        <v>92</v>
      </c>
      <c r="C109" s="504">
        <v>47000</v>
      </c>
      <c r="D109" s="505">
        <v>47000</v>
      </c>
      <c r="E109" s="399">
        <f t="shared" si="6"/>
        <v>0</v>
      </c>
      <c r="F109" s="506">
        <v>0</v>
      </c>
      <c r="G109" s="443">
        <v>0</v>
      </c>
    </row>
    <row r="110" spans="1:7" ht="18" customHeight="1" thickBot="1">
      <c r="A110" s="650" t="s">
        <v>178</v>
      </c>
      <c r="B110" s="496" t="s">
        <v>179</v>
      </c>
      <c r="C110" s="514"/>
      <c r="D110" s="515"/>
      <c r="E110" s="444">
        <f t="shared" si="6"/>
        <v>5700</v>
      </c>
      <c r="F110" s="503">
        <v>5700</v>
      </c>
      <c r="G110" s="445">
        <v>0</v>
      </c>
    </row>
    <row r="111" spans="1:7" ht="18" customHeight="1" thickBot="1">
      <c r="A111" s="634" t="s">
        <v>107</v>
      </c>
      <c r="B111" s="497"/>
      <c r="C111" s="498">
        <v>12500</v>
      </c>
      <c r="D111" s="499">
        <v>12500</v>
      </c>
      <c r="E111" s="472">
        <f t="shared" si="6"/>
        <v>50000</v>
      </c>
      <c r="F111" s="516">
        <f>SUM(F112)</f>
        <v>50000</v>
      </c>
      <c r="G111" s="474">
        <f>SUM(G112)</f>
        <v>0</v>
      </c>
    </row>
    <row r="112" spans="1:7" ht="20.25" customHeight="1" thickBot="1">
      <c r="A112" s="651" t="s">
        <v>108</v>
      </c>
      <c r="B112" s="416" t="s">
        <v>162</v>
      </c>
      <c r="C112" s="501"/>
      <c r="D112" s="502"/>
      <c r="E112" s="381">
        <f t="shared" si="6"/>
        <v>50000</v>
      </c>
      <c r="F112" s="503">
        <f>50000-50000+50000</f>
        <v>50000</v>
      </c>
      <c r="G112" s="445">
        <v>0</v>
      </c>
    </row>
    <row r="113" spans="1:7" s="313" customFormat="1" ht="31.5" customHeight="1" thickBot="1">
      <c r="A113" s="652" t="s">
        <v>9</v>
      </c>
      <c r="B113" s="426"/>
      <c r="C113" s="427">
        <v>40000</v>
      </c>
      <c r="D113" s="517">
        <v>40000</v>
      </c>
      <c r="E113" s="472">
        <f t="shared" si="6"/>
        <v>143500</v>
      </c>
      <c r="F113" s="518">
        <f>SUM(F115:F120)</f>
        <v>143500</v>
      </c>
      <c r="G113" s="519">
        <f>SUM(G115:G120)</f>
        <v>0</v>
      </c>
    </row>
    <row r="114" spans="1:7" s="313" customFormat="1" ht="13.5" customHeight="1" hidden="1">
      <c r="A114" s="653"/>
      <c r="B114" s="520"/>
      <c r="C114" s="521"/>
      <c r="D114" s="522"/>
      <c r="E114" s="399">
        <f t="shared" si="6"/>
        <v>0</v>
      </c>
      <c r="F114" s="523"/>
      <c r="G114" s="511"/>
    </row>
    <row r="115" spans="1:7" s="313" customFormat="1" ht="19.5" customHeight="1" hidden="1">
      <c r="A115" s="654" t="s">
        <v>89</v>
      </c>
      <c r="B115" s="524" t="s">
        <v>91</v>
      </c>
      <c r="C115" s="525">
        <v>36475</v>
      </c>
      <c r="D115" s="526">
        <v>36475</v>
      </c>
      <c r="E115" s="494">
        <f t="shared" si="6"/>
        <v>0</v>
      </c>
      <c r="F115" s="527">
        <v>0</v>
      </c>
      <c r="G115" s="440">
        <v>0</v>
      </c>
    </row>
    <row r="116" spans="1:7" s="313" customFormat="1" ht="15.75" customHeight="1" hidden="1">
      <c r="A116" s="855" t="s">
        <v>6</v>
      </c>
      <c r="B116" s="785" t="s">
        <v>7</v>
      </c>
      <c r="C116" s="406" t="s">
        <v>18</v>
      </c>
      <c r="D116" s="407" t="s">
        <v>8</v>
      </c>
      <c r="E116" s="813" t="s">
        <v>37</v>
      </c>
      <c r="F116" s="816" t="s">
        <v>19</v>
      </c>
      <c r="G116" s="817"/>
    </row>
    <row r="117" spans="1:7" s="313" customFormat="1" ht="16.5" hidden="1" thickBot="1">
      <c r="A117" s="856"/>
      <c r="B117" s="831"/>
      <c r="C117" s="408" t="s">
        <v>0</v>
      </c>
      <c r="D117" s="409" t="s">
        <v>14</v>
      </c>
      <c r="E117" s="814"/>
      <c r="F117" s="818" t="s">
        <v>13</v>
      </c>
      <c r="G117" s="820" t="s">
        <v>20</v>
      </c>
    </row>
    <row r="118" spans="1:7" s="313" customFormat="1" ht="15" customHeight="1" hidden="1">
      <c r="A118" s="857"/>
      <c r="B118" s="832"/>
      <c r="C118" s="410"/>
      <c r="D118" s="411" t="s">
        <v>15</v>
      </c>
      <c r="E118" s="815"/>
      <c r="F118" s="819"/>
      <c r="G118" s="821"/>
    </row>
    <row r="119" spans="1:7" s="313" customFormat="1" ht="45" customHeight="1" hidden="1">
      <c r="A119" s="654" t="s">
        <v>40</v>
      </c>
      <c r="B119" s="528" t="s">
        <v>41</v>
      </c>
      <c r="C119" s="529">
        <v>36475</v>
      </c>
      <c r="D119" s="530">
        <v>36475</v>
      </c>
      <c r="E119" s="400">
        <f aca="true" t="shared" si="7" ref="E119:E129">SUM(F119:G119)</f>
        <v>0</v>
      </c>
      <c r="F119" s="531">
        <v>0</v>
      </c>
      <c r="G119" s="513">
        <v>0</v>
      </c>
    </row>
    <row r="120" spans="1:7" s="313" customFormat="1" ht="18" customHeight="1" thickBot="1">
      <c r="A120" s="655" t="s">
        <v>35</v>
      </c>
      <c r="B120" s="532"/>
      <c r="C120" s="533"/>
      <c r="D120" s="534"/>
      <c r="E120" s="535">
        <f t="shared" si="7"/>
        <v>143500</v>
      </c>
      <c r="F120" s="536">
        <f>SUM(F121:F129)</f>
        <v>143500</v>
      </c>
      <c r="G120" s="536">
        <f>SUM(G121:G129)</f>
        <v>0</v>
      </c>
    </row>
    <row r="121" spans="1:7" s="313" customFormat="1" ht="16.5" customHeight="1">
      <c r="A121" s="656"/>
      <c r="B121" s="692" t="s">
        <v>116</v>
      </c>
      <c r="C121" s="668">
        <v>36475</v>
      </c>
      <c r="D121" s="669">
        <v>36475</v>
      </c>
      <c r="E121" s="614">
        <f t="shared" si="7"/>
        <v>48146</v>
      </c>
      <c r="F121" s="350">
        <f>40000+8146</f>
        <v>48146</v>
      </c>
      <c r="G121" s="351">
        <v>0</v>
      </c>
    </row>
    <row r="122" spans="1:7" s="313" customFormat="1" ht="16.5" customHeight="1">
      <c r="A122" s="657"/>
      <c r="B122" s="541" t="s">
        <v>117</v>
      </c>
      <c r="C122" s="542"/>
      <c r="D122" s="543"/>
      <c r="E122" s="401">
        <f t="shared" si="7"/>
        <v>15000</v>
      </c>
      <c r="F122" s="435">
        <v>15000</v>
      </c>
      <c r="G122" s="382">
        <v>0</v>
      </c>
    </row>
    <row r="123" spans="1:7" s="313" customFormat="1" ht="18" customHeight="1">
      <c r="A123" s="657"/>
      <c r="B123" s="541" t="s">
        <v>118</v>
      </c>
      <c r="C123" s="538"/>
      <c r="D123" s="539"/>
      <c r="E123" s="401">
        <f t="shared" si="7"/>
        <v>8000</v>
      </c>
      <c r="F123" s="488">
        <v>8000</v>
      </c>
      <c r="G123" s="393">
        <v>0</v>
      </c>
    </row>
    <row r="124" spans="1:7" s="313" customFormat="1" ht="15.75" customHeight="1">
      <c r="A124" s="657"/>
      <c r="B124" s="544" t="s">
        <v>90</v>
      </c>
      <c r="C124" s="538"/>
      <c r="D124" s="539"/>
      <c r="E124" s="401">
        <f t="shared" si="7"/>
        <v>8200</v>
      </c>
      <c r="F124" s="545">
        <v>8200</v>
      </c>
      <c r="G124" s="393">
        <v>0</v>
      </c>
    </row>
    <row r="125" spans="1:7" s="313" customFormat="1" ht="16.5" customHeight="1">
      <c r="A125" s="657"/>
      <c r="B125" s="541" t="s">
        <v>119</v>
      </c>
      <c r="C125" s="542"/>
      <c r="D125" s="543"/>
      <c r="E125" s="540">
        <f t="shared" si="7"/>
        <v>3000</v>
      </c>
      <c r="F125" s="546">
        <v>3000</v>
      </c>
      <c r="G125" s="382">
        <v>0</v>
      </c>
    </row>
    <row r="126" spans="1:8" s="313" customFormat="1" ht="16.5" customHeight="1">
      <c r="A126" s="657"/>
      <c r="B126" s="611" t="s">
        <v>144</v>
      </c>
      <c r="C126" s="612"/>
      <c r="D126" s="613"/>
      <c r="E126" s="614">
        <f t="shared" si="7"/>
        <v>33759</v>
      </c>
      <c r="F126" s="615">
        <f>29000+4759</f>
        <v>33759</v>
      </c>
      <c r="G126" s="319"/>
      <c r="H126" s="313" t="s">
        <v>145</v>
      </c>
    </row>
    <row r="127" spans="1:7" s="313" customFormat="1" ht="17.25" customHeight="1">
      <c r="A127" s="657"/>
      <c r="B127" s="541" t="s">
        <v>121</v>
      </c>
      <c r="C127" s="542"/>
      <c r="D127" s="543"/>
      <c r="E127" s="540">
        <f t="shared" si="7"/>
        <v>3000</v>
      </c>
      <c r="F127" s="546">
        <v>3000</v>
      </c>
      <c r="G127" s="382"/>
    </row>
    <row r="128" spans="1:7" s="313" customFormat="1" ht="20.25" customHeight="1">
      <c r="A128" s="657"/>
      <c r="B128" s="611" t="s">
        <v>141</v>
      </c>
      <c r="C128" s="612"/>
      <c r="D128" s="613"/>
      <c r="E128" s="614">
        <f t="shared" si="7"/>
        <v>11595</v>
      </c>
      <c r="F128" s="615">
        <f>25000-500-12905</f>
        <v>11595</v>
      </c>
      <c r="G128" s="319"/>
    </row>
    <row r="129" spans="1:8" s="313" customFormat="1" ht="20.25" customHeight="1" thickBot="1">
      <c r="A129" s="657"/>
      <c r="B129" s="547" t="s">
        <v>120</v>
      </c>
      <c r="C129" s="529"/>
      <c r="D129" s="530"/>
      <c r="E129" s="548">
        <f t="shared" si="7"/>
        <v>12800</v>
      </c>
      <c r="F129" s="549">
        <f>12300+500</f>
        <v>12800</v>
      </c>
      <c r="G129" s="387"/>
      <c r="H129" s="313" t="s">
        <v>160</v>
      </c>
    </row>
    <row r="130" spans="1:7" ht="15" customHeight="1">
      <c r="A130" s="855" t="s">
        <v>6</v>
      </c>
      <c r="B130" s="785" t="s">
        <v>7</v>
      </c>
      <c r="C130" s="406" t="s">
        <v>18</v>
      </c>
      <c r="D130" s="407" t="s">
        <v>8</v>
      </c>
      <c r="E130" s="813" t="s">
        <v>165</v>
      </c>
      <c r="F130" s="816" t="s">
        <v>19</v>
      </c>
      <c r="G130" s="817"/>
    </row>
    <row r="131" spans="1:7" ht="12.75" customHeight="1">
      <c r="A131" s="856"/>
      <c r="B131" s="831"/>
      <c r="C131" s="408" t="s">
        <v>0</v>
      </c>
      <c r="D131" s="409" t="s">
        <v>14</v>
      </c>
      <c r="E131" s="814"/>
      <c r="F131" s="791" t="s">
        <v>13</v>
      </c>
      <c r="G131" s="793" t="str">
        <f>G5</f>
        <v>środki zewnętrzne (zł)</v>
      </c>
    </row>
    <row r="132" spans="1:7" ht="18" customHeight="1" thickBot="1">
      <c r="A132" s="857"/>
      <c r="B132" s="832"/>
      <c r="C132" s="410"/>
      <c r="D132" s="411" t="s">
        <v>15</v>
      </c>
      <c r="E132" s="815"/>
      <c r="F132" s="840"/>
      <c r="G132" s="841"/>
    </row>
    <row r="133" spans="1:17" ht="28.5" customHeight="1" thickBot="1">
      <c r="A133" s="652" t="s">
        <v>21</v>
      </c>
      <c r="B133" s="426"/>
      <c r="C133" s="427">
        <v>23200</v>
      </c>
      <c r="D133" s="517">
        <v>23200</v>
      </c>
      <c r="E133" s="550">
        <f aca="true" t="shared" si="8" ref="E133:E149">SUM(F133:G133)</f>
        <v>58520.85</v>
      </c>
      <c r="F133" s="551">
        <f>SUM(F134:F143)</f>
        <v>58520.85</v>
      </c>
      <c r="G133" s="552">
        <f>SUM(G134:G142)</f>
        <v>0</v>
      </c>
      <c r="K133" s="307"/>
      <c r="L133" s="307"/>
      <c r="M133" s="308"/>
      <c r="N133" s="308"/>
      <c r="O133" s="309"/>
      <c r="P133" s="310"/>
      <c r="Q133" s="310"/>
    </row>
    <row r="134" spans="1:7" ht="25.5">
      <c r="A134" s="639" t="s">
        <v>22</v>
      </c>
      <c r="B134" s="553" t="s">
        <v>142</v>
      </c>
      <c r="C134" s="554">
        <v>1500</v>
      </c>
      <c r="D134" s="555">
        <v>1500</v>
      </c>
      <c r="E134" s="556">
        <f t="shared" si="8"/>
        <v>0</v>
      </c>
      <c r="F134" s="488">
        <f>75000-20000-55000</f>
        <v>0</v>
      </c>
      <c r="G134" s="393">
        <v>0</v>
      </c>
    </row>
    <row r="135" spans="1:8" ht="17.25" customHeight="1" thickBot="1">
      <c r="A135" s="658"/>
      <c r="B135" s="557" t="s">
        <v>155</v>
      </c>
      <c r="C135" s="558"/>
      <c r="D135" s="559"/>
      <c r="E135" s="556">
        <f t="shared" si="8"/>
        <v>35000</v>
      </c>
      <c r="F135" s="488">
        <v>35000</v>
      </c>
      <c r="G135" s="393">
        <v>0</v>
      </c>
      <c r="H135" s="313" t="s">
        <v>133</v>
      </c>
    </row>
    <row r="136" spans="1:7" ht="15.75" hidden="1" thickBot="1">
      <c r="A136" s="659"/>
      <c r="B136" s="416" t="s">
        <v>88</v>
      </c>
      <c r="C136" s="560"/>
      <c r="D136" s="561"/>
      <c r="E136" s="562">
        <f t="shared" si="8"/>
        <v>0</v>
      </c>
      <c r="F136" s="435">
        <v>0</v>
      </c>
      <c r="G136" s="382">
        <v>0</v>
      </c>
    </row>
    <row r="137" spans="1:8" ht="17.25" customHeight="1" thickBot="1">
      <c r="A137" s="659"/>
      <c r="B137" s="563" t="s">
        <v>158</v>
      </c>
      <c r="C137" s="560">
        <v>1500</v>
      </c>
      <c r="D137" s="561">
        <v>1500</v>
      </c>
      <c r="E137" s="556">
        <f t="shared" si="8"/>
        <v>7500</v>
      </c>
      <c r="F137" s="540">
        <v>7500</v>
      </c>
      <c r="G137" s="382">
        <v>0</v>
      </c>
      <c r="H137" s="313" t="s">
        <v>159</v>
      </c>
    </row>
    <row r="138" spans="1:7" ht="22.5" customHeight="1" hidden="1">
      <c r="A138" s="659"/>
      <c r="B138" s="564" t="s">
        <v>97</v>
      </c>
      <c r="C138" s="560"/>
      <c r="D138" s="561"/>
      <c r="E138" s="556">
        <f t="shared" si="8"/>
        <v>0</v>
      </c>
      <c r="F138" s="540">
        <v>0</v>
      </c>
      <c r="G138" s="382">
        <v>0</v>
      </c>
    </row>
    <row r="139" spans="1:7" ht="17.25" customHeight="1" hidden="1">
      <c r="A139" s="659"/>
      <c r="B139" s="564" t="s">
        <v>93</v>
      </c>
      <c r="C139" s="560"/>
      <c r="D139" s="561"/>
      <c r="E139" s="556">
        <f t="shared" si="8"/>
        <v>0</v>
      </c>
      <c r="F139" s="540">
        <v>0</v>
      </c>
      <c r="G139" s="382">
        <v>0</v>
      </c>
    </row>
    <row r="140" spans="1:7" ht="17.25" customHeight="1" hidden="1">
      <c r="A140" s="659"/>
      <c r="B140" s="565" t="s">
        <v>86</v>
      </c>
      <c r="C140" s="560"/>
      <c r="D140" s="561"/>
      <c r="E140" s="562">
        <f t="shared" si="8"/>
        <v>0</v>
      </c>
      <c r="F140" s="435">
        <v>0</v>
      </c>
      <c r="G140" s="382">
        <v>0</v>
      </c>
    </row>
    <row r="141" spans="1:7" ht="15.75" customHeight="1" hidden="1" thickBot="1">
      <c r="A141" s="659"/>
      <c r="B141" s="416" t="s">
        <v>113</v>
      </c>
      <c r="C141" s="560"/>
      <c r="D141" s="561"/>
      <c r="E141" s="562">
        <f t="shared" si="8"/>
        <v>0</v>
      </c>
      <c r="F141" s="435">
        <v>0</v>
      </c>
      <c r="G141" s="382">
        <v>0</v>
      </c>
    </row>
    <row r="142" spans="1:10" ht="15.75" thickBot="1">
      <c r="A142" s="579"/>
      <c r="B142" s="528" t="s">
        <v>200</v>
      </c>
      <c r="C142" s="566"/>
      <c r="D142" s="567"/>
      <c r="E142" s="660">
        <f t="shared" si="8"/>
        <v>11020.85</v>
      </c>
      <c r="F142" s="661">
        <f>0+11020.85</f>
        <v>11020.85</v>
      </c>
      <c r="G142" s="387">
        <v>0</v>
      </c>
      <c r="H142" s="335"/>
      <c r="J142" s="306"/>
    </row>
    <row r="143" spans="1:10" ht="30" customHeight="1" thickBot="1">
      <c r="A143" s="662" t="s">
        <v>59</v>
      </c>
      <c r="B143" s="570" t="s">
        <v>156</v>
      </c>
      <c r="C143" s="571">
        <v>1500</v>
      </c>
      <c r="D143" s="572">
        <v>1500</v>
      </c>
      <c r="E143" s="573">
        <f t="shared" si="8"/>
        <v>5000</v>
      </c>
      <c r="F143" s="448">
        <v>5000</v>
      </c>
      <c r="G143" s="495">
        <v>0</v>
      </c>
      <c r="H143" s="335" t="s">
        <v>157</v>
      </c>
      <c r="J143" s="306"/>
    </row>
    <row r="144" spans="1:7" ht="18" customHeight="1" thickBot="1">
      <c r="A144" s="663" t="s">
        <v>23</v>
      </c>
      <c r="B144" s="426"/>
      <c r="C144" s="427">
        <v>23200</v>
      </c>
      <c r="D144" s="517">
        <v>23200</v>
      </c>
      <c r="E144" s="472">
        <f t="shared" si="8"/>
        <v>210500</v>
      </c>
      <c r="F144" s="427">
        <f>SUM(F145:F159)</f>
        <v>180500</v>
      </c>
      <c r="G144" s="552">
        <f>SUM(G145:G159)</f>
        <v>30000</v>
      </c>
    </row>
    <row r="145" spans="1:10" ht="15.75" thickBot="1">
      <c r="A145" s="664" t="s">
        <v>24</v>
      </c>
      <c r="B145" s="574" t="s">
        <v>147</v>
      </c>
      <c r="C145" s="558">
        <v>1500</v>
      </c>
      <c r="D145" s="559">
        <v>1500</v>
      </c>
      <c r="E145" s="540">
        <f t="shared" si="8"/>
        <v>33500</v>
      </c>
      <c r="F145" s="488">
        <v>33500</v>
      </c>
      <c r="G145" s="393">
        <v>0</v>
      </c>
      <c r="H145" s="313" t="s">
        <v>148</v>
      </c>
      <c r="J145" s="302"/>
    </row>
    <row r="146" spans="1:10" s="666" customFormat="1" ht="15.75" thickBot="1">
      <c r="A146" s="658"/>
      <c r="B146" s="575" t="s">
        <v>103</v>
      </c>
      <c r="C146" s="560"/>
      <c r="D146" s="561"/>
      <c r="E146" s="540">
        <f t="shared" si="8"/>
        <v>31000</v>
      </c>
      <c r="F146" s="435">
        <f>14000+17000-15000+13600+1400</f>
        <v>31000</v>
      </c>
      <c r="G146" s="382">
        <v>0</v>
      </c>
      <c r="H146" s="366" t="s">
        <v>151</v>
      </c>
      <c r="I146" s="366"/>
      <c r="J146" s="686"/>
    </row>
    <row r="147" spans="1:10" s="666" customFormat="1" ht="15.75" thickBot="1">
      <c r="A147" s="659"/>
      <c r="B147" s="395" t="s">
        <v>67</v>
      </c>
      <c r="C147" s="560"/>
      <c r="D147" s="561"/>
      <c r="E147" s="540">
        <f t="shared" si="8"/>
        <v>15000</v>
      </c>
      <c r="F147" s="435">
        <f>15000-5000+5000</f>
        <v>15000</v>
      </c>
      <c r="G147" s="382">
        <v>0</v>
      </c>
      <c r="H147" s="687" t="s">
        <v>143</v>
      </c>
      <c r="I147" s="366"/>
      <c r="J147" s="686"/>
    </row>
    <row r="148" spans="1:10" ht="15.75" thickBot="1">
      <c r="A148" s="659"/>
      <c r="B148" s="413" t="s">
        <v>146</v>
      </c>
      <c r="C148" s="560"/>
      <c r="D148" s="561"/>
      <c r="E148" s="540">
        <f t="shared" si="8"/>
        <v>5000</v>
      </c>
      <c r="F148" s="435">
        <v>5000</v>
      </c>
      <c r="G148" s="382">
        <v>0</v>
      </c>
      <c r="H148" s="356" t="s">
        <v>157</v>
      </c>
      <c r="J148" s="302"/>
    </row>
    <row r="149" spans="1:10" s="666" customFormat="1" ht="30.75" thickBot="1">
      <c r="A149" s="659"/>
      <c r="B149" s="413" t="s">
        <v>95</v>
      </c>
      <c r="C149" s="560"/>
      <c r="D149" s="561"/>
      <c r="E149" s="401">
        <f t="shared" si="8"/>
        <v>113500</v>
      </c>
      <c r="F149" s="435">
        <f>60000+20000+3500</f>
        <v>83500</v>
      </c>
      <c r="G149" s="382">
        <f>0+30000</f>
        <v>30000</v>
      </c>
      <c r="H149" s="687" t="s">
        <v>150</v>
      </c>
      <c r="I149" s="366"/>
      <c r="J149" s="686"/>
    </row>
    <row r="150" spans="1:10" s="666" customFormat="1" ht="12.75" hidden="1">
      <c r="A150" s="810" t="s">
        <v>6</v>
      </c>
      <c r="B150" s="785" t="s">
        <v>7</v>
      </c>
      <c r="C150" s="370" t="s">
        <v>18</v>
      </c>
      <c r="D150" s="371" t="s">
        <v>8</v>
      </c>
      <c r="E150" s="842" t="s">
        <v>96</v>
      </c>
      <c r="F150" s="789" t="s">
        <v>19</v>
      </c>
      <c r="G150" s="790"/>
      <c r="H150" s="687"/>
      <c r="I150" s="366"/>
      <c r="J150" s="686"/>
    </row>
    <row r="151" spans="1:10" s="666" customFormat="1" ht="12.75" hidden="1">
      <c r="A151" s="854"/>
      <c r="B151" s="786"/>
      <c r="C151" s="372" t="s">
        <v>0</v>
      </c>
      <c r="D151" s="373" t="s">
        <v>14</v>
      </c>
      <c r="E151" s="843"/>
      <c r="F151" s="791" t="s">
        <v>54</v>
      </c>
      <c r="G151" s="793" t="s">
        <v>55</v>
      </c>
      <c r="H151" s="687"/>
      <c r="I151" s="366"/>
      <c r="J151" s="686"/>
    </row>
    <row r="152" spans="1:10" s="666" customFormat="1" ht="12.75" hidden="1">
      <c r="A152" s="854"/>
      <c r="B152" s="786"/>
      <c r="C152" s="372"/>
      <c r="D152" s="373" t="s">
        <v>15</v>
      </c>
      <c r="E152" s="844"/>
      <c r="F152" s="845"/>
      <c r="G152" s="846"/>
      <c r="H152" s="687"/>
      <c r="I152" s="366"/>
      <c r="J152" s="686"/>
    </row>
    <row r="153" spans="1:10" s="666" customFormat="1" ht="17.25" customHeight="1">
      <c r="A153" s="665"/>
      <c r="B153" s="576" t="s">
        <v>58</v>
      </c>
      <c r="C153" s="538"/>
      <c r="D153" s="539"/>
      <c r="E153" s="540">
        <f aca="true" t="shared" si="9" ref="E153:E159">SUM(F153:G153)</f>
        <v>0</v>
      </c>
      <c r="F153" s="546">
        <f>12000-12000</f>
        <v>0</v>
      </c>
      <c r="G153" s="393">
        <v>0</v>
      </c>
      <c r="H153" s="687" t="s">
        <v>152</v>
      </c>
      <c r="I153" s="366"/>
      <c r="J153" s="686"/>
    </row>
    <row r="154" spans="1:10" s="666" customFormat="1" ht="15.75" thickBot="1">
      <c r="A154" s="659"/>
      <c r="B154" s="577" t="s">
        <v>206</v>
      </c>
      <c r="C154" s="560"/>
      <c r="D154" s="561"/>
      <c r="E154" s="401">
        <f t="shared" si="9"/>
        <v>1000</v>
      </c>
      <c r="F154" s="435">
        <f>0+1000</f>
        <v>1000</v>
      </c>
      <c r="G154" s="382">
        <v>0</v>
      </c>
      <c r="H154" s="688" t="s">
        <v>205</v>
      </c>
      <c r="I154" s="366"/>
      <c r="J154" s="686"/>
    </row>
    <row r="155" spans="1:10" ht="18.75" customHeight="1" thickBot="1">
      <c r="A155" s="659"/>
      <c r="B155" s="575" t="s">
        <v>153</v>
      </c>
      <c r="C155" s="560"/>
      <c r="D155" s="561"/>
      <c r="E155" s="401">
        <f t="shared" si="9"/>
        <v>5500</v>
      </c>
      <c r="F155" s="435">
        <f>5000+500</f>
        <v>5500</v>
      </c>
      <c r="G155" s="382">
        <v>0</v>
      </c>
      <c r="H155" s="356" t="s">
        <v>154</v>
      </c>
      <c r="J155" s="302"/>
    </row>
    <row r="156" spans="1:10" ht="15.75" hidden="1" thickBot="1">
      <c r="A156" s="659"/>
      <c r="B156" s="577" t="s">
        <v>94</v>
      </c>
      <c r="C156" s="560"/>
      <c r="D156" s="561"/>
      <c r="E156" s="401">
        <f t="shared" si="9"/>
        <v>0</v>
      </c>
      <c r="F156" s="435">
        <v>0</v>
      </c>
      <c r="G156" s="382">
        <v>0</v>
      </c>
      <c r="J156" s="302"/>
    </row>
    <row r="157" spans="1:10" ht="31.5" customHeight="1" hidden="1">
      <c r="A157" s="659"/>
      <c r="B157" s="577" t="s">
        <v>102</v>
      </c>
      <c r="C157" s="560"/>
      <c r="D157" s="561"/>
      <c r="E157" s="401">
        <f t="shared" si="9"/>
        <v>0</v>
      </c>
      <c r="F157" s="435">
        <v>0</v>
      </c>
      <c r="G157" s="382">
        <v>0</v>
      </c>
      <c r="J157" s="302"/>
    </row>
    <row r="158" spans="1:10" ht="18" customHeight="1" thickBot="1">
      <c r="A158" s="579"/>
      <c r="B158" s="578" t="s">
        <v>73</v>
      </c>
      <c r="C158" s="560"/>
      <c r="D158" s="561"/>
      <c r="E158" s="449">
        <f t="shared" si="9"/>
        <v>6000</v>
      </c>
      <c r="F158" s="448">
        <v>6000</v>
      </c>
      <c r="G158" s="495">
        <v>0</v>
      </c>
      <c r="H158" s="313" t="s">
        <v>161</v>
      </c>
      <c r="J158" s="302"/>
    </row>
    <row r="159" spans="1:9" s="302" customFormat="1" ht="13.5" hidden="1" thickBot="1">
      <c r="A159" s="579"/>
      <c r="B159" s="579" t="s">
        <v>28</v>
      </c>
      <c r="C159" s="580">
        <v>1500</v>
      </c>
      <c r="D159" s="581">
        <v>1500</v>
      </c>
      <c r="E159" s="582">
        <f t="shared" si="9"/>
        <v>0</v>
      </c>
      <c r="F159" s="583">
        <v>0</v>
      </c>
      <c r="G159" s="584">
        <v>0</v>
      </c>
      <c r="H159" s="312"/>
      <c r="I159" s="312"/>
    </row>
    <row r="160" spans="1:9" s="302" customFormat="1" ht="5.25" customHeight="1">
      <c r="A160" s="451"/>
      <c r="B160" s="451"/>
      <c r="C160" s="365"/>
      <c r="D160" s="366"/>
      <c r="E160" s="366"/>
      <c r="F160" s="365"/>
      <c r="G160" s="365"/>
      <c r="H160" s="312"/>
      <c r="I160" s="312"/>
    </row>
    <row r="161" spans="1:9" s="302" customFormat="1" ht="16.5" thickBot="1">
      <c r="A161" s="853" t="s">
        <v>17</v>
      </c>
      <c r="B161" s="853"/>
      <c r="C161" s="585"/>
      <c r="D161" s="508"/>
      <c r="E161" s="363">
        <f>SUM(E113+E98+E91+E82+E50+E7+E133+E144+E88+E104+E111+E79)</f>
        <v>5586897.85</v>
      </c>
      <c r="F161" s="363">
        <f>SUM(F113+F98+F91+F82+F50+F7+F133+F144+F88+F104+F111+F79)</f>
        <v>5556897.85</v>
      </c>
      <c r="G161" s="363">
        <f>SUM(G113+G98+G91+G82+G50+G7+G133+G144+G88+G104)</f>
        <v>30000</v>
      </c>
      <c r="H161" s="312"/>
      <c r="I161" s="312"/>
    </row>
    <row r="162" spans="1:4" ht="13.5" thickTop="1">
      <c r="A162" s="666"/>
      <c r="B162" s="666"/>
      <c r="D162" s="366" t="s">
        <v>16</v>
      </c>
    </row>
    <row r="163" spans="1:6" ht="15">
      <c r="A163" s="666"/>
      <c r="B163" s="666"/>
      <c r="C163" s="586"/>
      <c r="F163" s="365" t="s">
        <v>188</v>
      </c>
    </row>
    <row r="164" spans="1:7" ht="12.75">
      <c r="A164" s="666"/>
      <c r="B164" s="666"/>
      <c r="E164" s="365"/>
      <c r="F164" s="365" t="s">
        <v>189</v>
      </c>
      <c r="G164" s="365">
        <f>G78</f>
        <v>0</v>
      </c>
    </row>
    <row r="165" spans="1:7" ht="12.75">
      <c r="A165" s="303"/>
      <c r="B165" s="303"/>
      <c r="E165" s="365"/>
      <c r="F165" s="365" t="s">
        <v>187</v>
      </c>
      <c r="G165" s="365">
        <f>G149</f>
        <v>30000</v>
      </c>
    </row>
    <row r="167" spans="1:10" ht="12.75">
      <c r="A167" s="303"/>
      <c r="B167" s="303"/>
      <c r="J167" s="303" t="s">
        <v>39</v>
      </c>
    </row>
    <row r="168" spans="1:10" ht="12.75">
      <c r="A168" s="303"/>
      <c r="B168" s="303"/>
      <c r="G168" s="587">
        <f>SUM(F161:G161)</f>
        <v>5586897.85</v>
      </c>
      <c r="J168" s="302">
        <f>SUM(G168)-E161</f>
        <v>0</v>
      </c>
    </row>
  </sheetData>
  <sheetProtection/>
  <mergeCells count="51">
    <mergeCell ref="A161:B161"/>
    <mergeCell ref="A150:A152"/>
    <mergeCell ref="B150:B152"/>
    <mergeCell ref="E150:E152"/>
    <mergeCell ref="F150:G150"/>
    <mergeCell ref="F151:F152"/>
    <mergeCell ref="G151:G152"/>
    <mergeCell ref="A130:A132"/>
    <mergeCell ref="B130:B132"/>
    <mergeCell ref="E130:E132"/>
    <mergeCell ref="F130:G130"/>
    <mergeCell ref="F131:F132"/>
    <mergeCell ref="G131:G132"/>
    <mergeCell ref="A116:A118"/>
    <mergeCell ref="B116:B118"/>
    <mergeCell ref="E116:E118"/>
    <mergeCell ref="F116:G116"/>
    <mergeCell ref="F117:F118"/>
    <mergeCell ref="G117:G118"/>
    <mergeCell ref="A94:A96"/>
    <mergeCell ref="B94:B96"/>
    <mergeCell ref="E94:E96"/>
    <mergeCell ref="F94:G94"/>
    <mergeCell ref="F95:F96"/>
    <mergeCell ref="G95:G96"/>
    <mergeCell ref="A68:A70"/>
    <mergeCell ref="B68:B70"/>
    <mergeCell ref="E68:E70"/>
    <mergeCell ref="F68:G68"/>
    <mergeCell ref="F69:F70"/>
    <mergeCell ref="G69:G70"/>
    <mergeCell ref="A35:A37"/>
    <mergeCell ref="B35:B37"/>
    <mergeCell ref="E35:E37"/>
    <mergeCell ref="F35:G35"/>
    <mergeCell ref="F36:F37"/>
    <mergeCell ref="G36:G37"/>
    <mergeCell ref="B10:B13"/>
    <mergeCell ref="E10:E13"/>
    <mergeCell ref="F10:F13"/>
    <mergeCell ref="B19:B20"/>
    <mergeCell ref="E19:E20"/>
    <mergeCell ref="F19:F20"/>
    <mergeCell ref="E1:G1"/>
    <mergeCell ref="E2:G2"/>
    <mergeCell ref="A4:A6"/>
    <mergeCell ref="B4:B6"/>
    <mergeCell ref="E4:E6"/>
    <mergeCell ref="F4:G4"/>
    <mergeCell ref="F5:F6"/>
    <mergeCell ref="G5:G6"/>
  </mergeCells>
  <conditionalFormatting sqref="I1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{a533ed18-98c1-4882-967c-53730bd9fbbb}</x14:id>
        </ext>
      </extLst>
    </cfRule>
  </conditionalFormatting>
  <conditionalFormatting sqref="A7:A4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{0119e5da-2a18-4417-ba80-fa5ead7902a9}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69" r:id="rId1"/>
  <rowBreaks count="1" manualBreakCount="1">
    <brk id="89" max="6" man="1"/>
  </rowBreaks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33ed18-98c1-4882-967c-53730bd9fb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I18</xm:sqref>
        </x14:conditionalFormatting>
        <x14:conditionalFormatting xmlns:xm="http://schemas.microsoft.com/office/excel/2006/main">
          <x14:cfRule type="dataBar" id="{0119e5da-2a18-4417-ba80-fa5ead7902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9"/>
  <sheetViews>
    <sheetView tabSelected="1" zoomScalePageLayoutView="0" workbookViewId="0" topLeftCell="A132">
      <selection activeCell="F170" sqref="F170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587" customWidth="1"/>
    <col min="6" max="6" width="14.625" style="587" customWidth="1"/>
    <col min="7" max="7" width="13.00390625" style="587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E1" s="861" t="s">
        <v>218</v>
      </c>
      <c r="F1" s="861"/>
      <c r="G1" s="861"/>
    </row>
    <row r="2" spans="1:7" ht="18">
      <c r="A2" s="284"/>
      <c r="B2" s="364" t="s">
        <v>167</v>
      </c>
      <c r="E2" s="862" t="s">
        <v>217</v>
      </c>
      <c r="F2" s="863"/>
      <c r="G2" s="863"/>
    </row>
    <row r="3" spans="2:7" ht="3.75" customHeight="1" thickBot="1">
      <c r="B3" s="368"/>
      <c r="G3" s="864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865" t="s">
        <v>166</v>
      </c>
      <c r="F4" s="866" t="s">
        <v>19</v>
      </c>
      <c r="G4" s="867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868"/>
      <c r="F5" s="869" t="s">
        <v>54</v>
      </c>
      <c r="G5" s="870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868"/>
      <c r="F6" s="871"/>
      <c r="G6" s="872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SUM(E8:E49)</f>
        <v>596560</v>
      </c>
      <c r="F7" s="377">
        <f>SUM(F8:F49)</f>
        <v>596560</v>
      </c>
      <c r="G7" s="377">
        <f>SUM(G8:G48)</f>
        <v>0</v>
      </c>
      <c r="H7" s="207"/>
      <c r="I7" s="207"/>
    </row>
    <row r="8" spans="1:9" s="305" customFormat="1" ht="23.25" customHeight="1">
      <c r="A8" s="208" t="s">
        <v>42</v>
      </c>
      <c r="B8" s="588" t="s">
        <v>163</v>
      </c>
      <c r="C8" s="316">
        <v>1240000</v>
      </c>
      <c r="D8" s="321">
        <v>110000</v>
      </c>
      <c r="E8" s="873">
        <f>SUM(F8:G8)</f>
        <v>22500</v>
      </c>
      <c r="F8" s="874">
        <f>22800+1300-1600</f>
        <v>22500</v>
      </c>
      <c r="G8" s="874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875">
        <f>SUM(F9:G9)</f>
        <v>3500</v>
      </c>
      <c r="F9" s="876">
        <f>3100+400</f>
        <v>3500</v>
      </c>
      <c r="G9" s="877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90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878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879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875">
        <f aca="true" t="shared" si="0" ref="E14:E19">SUM(F14:G14)</f>
        <v>20000</v>
      </c>
      <c r="F14" s="876">
        <f>0+20000</f>
        <v>20000</v>
      </c>
      <c r="G14" s="877">
        <v>0</v>
      </c>
      <c r="H14" s="207"/>
      <c r="I14" s="200"/>
    </row>
    <row r="15" spans="1:9" s="684" customFormat="1" ht="18.75" customHeight="1">
      <c r="A15" s="682"/>
      <c r="B15" s="315" t="s">
        <v>207</v>
      </c>
      <c r="C15" s="316"/>
      <c r="D15" s="317"/>
      <c r="E15" s="873">
        <f t="shared" si="0"/>
        <v>0</v>
      </c>
      <c r="F15" s="880">
        <f>0+11000-11000</f>
        <v>0</v>
      </c>
      <c r="G15" s="881">
        <v>0</v>
      </c>
      <c r="H15" s="693" t="s">
        <v>214</v>
      </c>
      <c r="I15" s="683"/>
    </row>
    <row r="16" spans="1:9" s="305" customFormat="1" ht="20.25" customHeight="1">
      <c r="A16" s="320"/>
      <c r="B16" s="315" t="s">
        <v>126</v>
      </c>
      <c r="C16" s="316"/>
      <c r="D16" s="317"/>
      <c r="E16" s="873">
        <f t="shared" si="0"/>
        <v>61000</v>
      </c>
      <c r="F16" s="874">
        <f>65000-4000</f>
        <v>61000</v>
      </c>
      <c r="G16" s="881">
        <v>0</v>
      </c>
      <c r="H16" s="207"/>
      <c r="I16" s="200"/>
    </row>
    <row r="17" spans="1:9" s="305" customFormat="1" ht="20.25" customHeight="1">
      <c r="A17" s="320"/>
      <c r="B17" s="383" t="s">
        <v>127</v>
      </c>
      <c r="C17" s="379"/>
      <c r="D17" s="380"/>
      <c r="E17" s="875">
        <f t="shared" si="0"/>
        <v>334000</v>
      </c>
      <c r="F17" s="877">
        <f>100000-1700-1700+300000-20000-40000-10000+7400</f>
        <v>334000</v>
      </c>
      <c r="G17" s="877">
        <f>300000-300000</f>
        <v>0</v>
      </c>
      <c r="H17" s="207"/>
      <c r="I17" s="200"/>
    </row>
    <row r="18" spans="1:9" s="305" customFormat="1" ht="16.5" customHeight="1" hidden="1">
      <c r="A18" s="320"/>
      <c r="B18" s="378" t="s">
        <v>79</v>
      </c>
      <c r="C18" s="379"/>
      <c r="D18" s="384"/>
      <c r="E18" s="875">
        <f t="shared" si="0"/>
        <v>0</v>
      </c>
      <c r="F18" s="877">
        <v>0</v>
      </c>
      <c r="G18" s="877">
        <v>0</v>
      </c>
      <c r="H18" s="207"/>
      <c r="I18" s="200"/>
    </row>
    <row r="19" spans="1:9" s="305" customFormat="1" ht="11.25" customHeight="1" hidden="1">
      <c r="A19" s="320"/>
      <c r="B19" s="847" t="s">
        <v>80</v>
      </c>
      <c r="C19" s="379"/>
      <c r="D19" s="384"/>
      <c r="E19" s="798">
        <f t="shared" si="0"/>
        <v>0</v>
      </c>
      <c r="F19" s="882">
        <v>0</v>
      </c>
      <c r="G19" s="390">
        <v>0</v>
      </c>
      <c r="H19" s="207"/>
      <c r="I19" s="200"/>
    </row>
    <row r="20" spans="1:9" s="305" customFormat="1" ht="10.5" customHeight="1" hidden="1">
      <c r="A20" s="320"/>
      <c r="B20" s="848"/>
      <c r="C20" s="379"/>
      <c r="D20" s="384"/>
      <c r="E20" s="800"/>
      <c r="F20" s="883"/>
      <c r="G20" s="879"/>
      <c r="H20" s="207"/>
      <c r="I20" s="200"/>
    </row>
    <row r="21" spans="1:9" s="305" customFormat="1" ht="16.5" customHeight="1" hidden="1">
      <c r="A21" s="320"/>
      <c r="B21" s="394" t="s">
        <v>74</v>
      </c>
      <c r="C21" s="379"/>
      <c r="D21" s="384"/>
      <c r="E21" s="875">
        <f aca="true" t="shared" si="1" ref="E21:E31">SUM(F21:G21)</f>
        <v>0</v>
      </c>
      <c r="F21" s="877">
        <v>0</v>
      </c>
      <c r="G21" s="884">
        <v>0</v>
      </c>
      <c r="H21" s="207"/>
      <c r="I21" s="200"/>
    </row>
    <row r="22" spans="1:9" s="305" customFormat="1" ht="14.25" customHeight="1" hidden="1">
      <c r="A22" s="323"/>
      <c r="B22" s="604" t="s">
        <v>75</v>
      </c>
      <c r="C22" s="379"/>
      <c r="D22" s="384"/>
      <c r="E22" s="875">
        <f t="shared" si="1"/>
        <v>0</v>
      </c>
      <c r="F22" s="877">
        <v>0</v>
      </c>
      <c r="G22" s="877">
        <v>0</v>
      </c>
      <c r="H22" s="207"/>
      <c r="I22" s="200"/>
    </row>
    <row r="23" spans="1:9" s="305" customFormat="1" ht="16.5" customHeight="1" hidden="1">
      <c r="A23" s="323"/>
      <c r="B23" s="605" t="s">
        <v>81</v>
      </c>
      <c r="C23" s="379">
        <v>30000</v>
      </c>
      <c r="D23" s="380">
        <v>30000</v>
      </c>
      <c r="E23" s="875">
        <f t="shared" si="1"/>
        <v>0</v>
      </c>
      <c r="F23" s="877">
        <v>0</v>
      </c>
      <c r="G23" s="877">
        <v>0</v>
      </c>
      <c r="H23" s="207"/>
      <c r="I23" s="200"/>
    </row>
    <row r="24" spans="1:9" s="305" customFormat="1" ht="19.5" customHeight="1" hidden="1">
      <c r="A24" s="323"/>
      <c r="B24" s="395" t="s">
        <v>104</v>
      </c>
      <c r="C24" s="379">
        <v>83000</v>
      </c>
      <c r="D24" s="380">
        <v>83000</v>
      </c>
      <c r="E24" s="875">
        <f t="shared" si="1"/>
        <v>0</v>
      </c>
      <c r="F24" s="877">
        <v>0</v>
      </c>
      <c r="G24" s="877">
        <v>0</v>
      </c>
      <c r="H24" s="207"/>
      <c r="I24" s="200"/>
    </row>
    <row r="25" spans="1:9" s="305" customFormat="1" ht="16.5" customHeight="1" hidden="1">
      <c r="A25" s="323"/>
      <c r="B25" s="395" t="s">
        <v>76</v>
      </c>
      <c r="C25" s="379"/>
      <c r="D25" s="380"/>
      <c r="E25" s="875">
        <f t="shared" si="1"/>
        <v>0</v>
      </c>
      <c r="F25" s="876">
        <v>0</v>
      </c>
      <c r="G25" s="877">
        <v>0</v>
      </c>
      <c r="H25" s="207"/>
      <c r="I25" s="200"/>
    </row>
    <row r="26" spans="1:9" s="305" customFormat="1" ht="16.5" customHeight="1" hidden="1">
      <c r="A26" s="323"/>
      <c r="B26" s="606" t="s">
        <v>77</v>
      </c>
      <c r="C26" s="396"/>
      <c r="D26" s="607"/>
      <c r="E26" s="875">
        <f t="shared" si="1"/>
        <v>0</v>
      </c>
      <c r="F26" s="885">
        <v>0</v>
      </c>
      <c r="G26" s="390">
        <v>0</v>
      </c>
      <c r="H26" s="207"/>
      <c r="I26" s="200"/>
    </row>
    <row r="27" spans="1:9" s="305" customFormat="1" ht="15" hidden="1">
      <c r="A27" s="323"/>
      <c r="B27" s="395" t="s">
        <v>82</v>
      </c>
      <c r="C27" s="379"/>
      <c r="D27" s="380"/>
      <c r="E27" s="875">
        <f t="shared" si="1"/>
        <v>0</v>
      </c>
      <c r="F27" s="876">
        <v>0</v>
      </c>
      <c r="G27" s="877">
        <v>0</v>
      </c>
      <c r="H27" s="207"/>
      <c r="I27" s="200"/>
    </row>
    <row r="28" spans="1:9" s="305" customFormat="1" ht="27.75" customHeight="1" hidden="1">
      <c r="A28" s="323"/>
      <c r="B28" s="395" t="s">
        <v>50</v>
      </c>
      <c r="C28" s="397">
        <v>1000</v>
      </c>
      <c r="D28" s="398">
        <v>1000</v>
      </c>
      <c r="E28" s="886">
        <f t="shared" si="1"/>
        <v>0</v>
      </c>
      <c r="F28" s="887">
        <v>0</v>
      </c>
      <c r="G28" s="884"/>
      <c r="H28" s="207"/>
      <c r="I28" s="200"/>
    </row>
    <row r="29" spans="1:9" s="305" customFormat="1" ht="16.5" customHeight="1" hidden="1">
      <c r="A29" s="323"/>
      <c r="B29" s="395" t="s">
        <v>78</v>
      </c>
      <c r="C29" s="379"/>
      <c r="D29" s="380"/>
      <c r="E29" s="875">
        <f t="shared" si="1"/>
        <v>0</v>
      </c>
      <c r="F29" s="876">
        <v>0</v>
      </c>
      <c r="G29" s="877">
        <v>0</v>
      </c>
      <c r="H29" s="207"/>
      <c r="I29" s="200"/>
    </row>
    <row r="30" spans="1:7" ht="15.75" customHeight="1" hidden="1">
      <c r="A30" s="323"/>
      <c r="B30" s="608" t="s">
        <v>45</v>
      </c>
      <c r="C30" s="396"/>
      <c r="D30" s="607"/>
      <c r="E30" s="888">
        <f t="shared" si="1"/>
        <v>0</v>
      </c>
      <c r="F30" s="885">
        <v>0</v>
      </c>
      <c r="G30" s="390">
        <v>0</v>
      </c>
    </row>
    <row r="31" spans="1:7" ht="20.25" customHeight="1">
      <c r="A31" s="323"/>
      <c r="B31" s="609" t="s">
        <v>57</v>
      </c>
      <c r="C31" s="610"/>
      <c r="D31" s="610"/>
      <c r="E31" s="889">
        <f t="shared" si="1"/>
        <v>41054</v>
      </c>
      <c r="F31" s="890">
        <f>50000-1546-7400</f>
        <v>41054</v>
      </c>
      <c r="G31" s="877">
        <v>0</v>
      </c>
    </row>
    <row r="32" spans="1:7" ht="15" hidden="1">
      <c r="A32" s="323"/>
      <c r="B32" s="402"/>
      <c r="C32" s="403"/>
      <c r="D32" s="403"/>
      <c r="E32" s="891"/>
      <c r="F32" s="892"/>
      <c r="G32" s="893"/>
    </row>
    <row r="33" spans="1:7" s="313" customFormat="1" ht="18" customHeight="1" hidden="1">
      <c r="A33" s="323"/>
      <c r="B33" s="402"/>
      <c r="C33" s="403"/>
      <c r="D33" s="403"/>
      <c r="E33" s="891"/>
      <c r="F33" s="892"/>
      <c r="G33" s="893"/>
    </row>
    <row r="34" spans="1:7" s="313" customFormat="1" ht="15" hidden="1">
      <c r="A34" s="323"/>
      <c r="B34" s="402"/>
      <c r="C34" s="403"/>
      <c r="D34" s="403"/>
      <c r="E34" s="891"/>
      <c r="F34" s="892"/>
      <c r="G34" s="893"/>
    </row>
    <row r="35" spans="1:7" s="313" customFormat="1" ht="12.75" customHeight="1" hidden="1">
      <c r="A35" s="747" t="s">
        <v>6</v>
      </c>
      <c r="B35" s="810" t="s">
        <v>7</v>
      </c>
      <c r="C35" s="406" t="s">
        <v>18</v>
      </c>
      <c r="D35" s="407" t="s">
        <v>8</v>
      </c>
      <c r="E35" s="894" t="s">
        <v>5</v>
      </c>
      <c r="F35" s="895" t="s">
        <v>19</v>
      </c>
      <c r="G35" s="896"/>
    </row>
    <row r="36" spans="1:7" s="313" customFormat="1" ht="15.75" hidden="1">
      <c r="A36" s="777"/>
      <c r="B36" s="811"/>
      <c r="C36" s="408" t="s">
        <v>0</v>
      </c>
      <c r="D36" s="409" t="s">
        <v>14</v>
      </c>
      <c r="E36" s="897"/>
      <c r="F36" s="898" t="s">
        <v>13</v>
      </c>
      <c r="G36" s="899" t="s">
        <v>20</v>
      </c>
    </row>
    <row r="37" spans="1:7" s="313" customFormat="1" ht="16.5" hidden="1" thickBot="1">
      <c r="A37" s="777"/>
      <c r="B37" s="812"/>
      <c r="C37" s="410"/>
      <c r="D37" s="411" t="s">
        <v>15</v>
      </c>
      <c r="E37" s="900"/>
      <c r="F37" s="901"/>
      <c r="G37" s="902"/>
    </row>
    <row r="38" spans="1:7" s="313" customFormat="1" ht="15">
      <c r="A38" s="325"/>
      <c r="B38" s="412" t="s">
        <v>128</v>
      </c>
      <c r="C38" s="379"/>
      <c r="D38" s="380"/>
      <c r="E38" s="875">
        <f aca="true" t="shared" si="2" ref="E38:E45">SUM(F38:G38)</f>
        <v>66900</v>
      </c>
      <c r="F38" s="876">
        <v>66900</v>
      </c>
      <c r="G38" s="877">
        <v>0</v>
      </c>
    </row>
    <row r="39" spans="1:7" s="313" customFormat="1" ht="19.5" customHeight="1">
      <c r="A39" s="323"/>
      <c r="B39" s="412" t="s">
        <v>175</v>
      </c>
      <c r="C39" s="379"/>
      <c r="D39" s="380"/>
      <c r="E39" s="875">
        <f t="shared" si="2"/>
        <v>14056</v>
      </c>
      <c r="F39" s="876">
        <f>12510+1546</f>
        <v>14056</v>
      </c>
      <c r="G39" s="877">
        <v>0</v>
      </c>
    </row>
    <row r="40" spans="1:7" s="313" customFormat="1" ht="15" customHeight="1" hidden="1">
      <c r="A40" s="323"/>
      <c r="B40" s="412" t="s">
        <v>83</v>
      </c>
      <c r="C40" s="379"/>
      <c r="D40" s="380"/>
      <c r="E40" s="875">
        <f t="shared" si="2"/>
        <v>0</v>
      </c>
      <c r="F40" s="876">
        <v>0</v>
      </c>
      <c r="G40" s="877">
        <v>0</v>
      </c>
    </row>
    <row r="41" spans="1:7" s="313" customFormat="1" ht="15" customHeight="1" hidden="1">
      <c r="A41" s="323"/>
      <c r="B41" s="413" t="s">
        <v>84</v>
      </c>
      <c r="C41" s="379"/>
      <c r="D41" s="380"/>
      <c r="E41" s="875">
        <f t="shared" si="2"/>
        <v>0</v>
      </c>
      <c r="F41" s="876">
        <v>0</v>
      </c>
      <c r="G41" s="877"/>
    </row>
    <row r="42" spans="1:7" s="313" customFormat="1" ht="15.75" customHeight="1" hidden="1" thickBot="1">
      <c r="A42" s="326"/>
      <c r="B42" s="414" t="s">
        <v>98</v>
      </c>
      <c r="C42" s="379">
        <v>44900</v>
      </c>
      <c r="D42" s="380">
        <v>44900</v>
      </c>
      <c r="E42" s="875">
        <f t="shared" si="2"/>
        <v>0</v>
      </c>
      <c r="F42" s="876">
        <v>0</v>
      </c>
      <c r="G42" s="877">
        <v>0</v>
      </c>
    </row>
    <row r="43" spans="1:7" s="313" customFormat="1" ht="13.5" customHeight="1" hidden="1">
      <c r="A43" s="320"/>
      <c r="B43" s="415" t="s">
        <v>1</v>
      </c>
      <c r="C43" s="379"/>
      <c r="D43" s="380"/>
      <c r="E43" s="875">
        <f t="shared" si="2"/>
        <v>0</v>
      </c>
      <c r="F43" s="876">
        <v>0</v>
      </c>
      <c r="G43" s="877">
        <v>0</v>
      </c>
    </row>
    <row r="44" spans="1:7" s="313" customFormat="1" ht="13.5" customHeight="1" hidden="1" thickBot="1">
      <c r="A44" s="327"/>
      <c r="B44" s="416" t="s">
        <v>2</v>
      </c>
      <c r="C44" s="379"/>
      <c r="D44" s="380"/>
      <c r="E44" s="888">
        <f t="shared" si="2"/>
        <v>0</v>
      </c>
      <c r="F44" s="885">
        <v>0</v>
      </c>
      <c r="G44" s="390"/>
    </row>
    <row r="45" spans="1:8" s="313" customFormat="1" ht="15" customHeight="1" hidden="1" thickBot="1">
      <c r="A45" s="215" t="s">
        <v>43</v>
      </c>
      <c r="B45" s="417" t="s">
        <v>71</v>
      </c>
      <c r="C45" s="403"/>
      <c r="D45" s="418"/>
      <c r="E45" s="875">
        <f t="shared" si="2"/>
        <v>0</v>
      </c>
      <c r="F45" s="876">
        <v>0</v>
      </c>
      <c r="G45" s="903">
        <v>0</v>
      </c>
      <c r="H45" s="313" t="s">
        <v>72</v>
      </c>
    </row>
    <row r="46" spans="1:7" s="313" customFormat="1" ht="16.5" customHeight="1" hidden="1">
      <c r="A46" s="320"/>
      <c r="B46" s="420"/>
      <c r="C46" s="403"/>
      <c r="D46" s="418"/>
      <c r="E46" s="892"/>
      <c r="F46" s="892"/>
      <c r="G46" s="893"/>
    </row>
    <row r="47" spans="1:7" s="313" customFormat="1" ht="15.75" customHeight="1" hidden="1" thickBot="1">
      <c r="A47" s="328"/>
      <c r="B47" s="421" t="s">
        <v>51</v>
      </c>
      <c r="C47" s="403"/>
      <c r="D47" s="418"/>
      <c r="E47" s="422">
        <f>SUM(F47:G47)</f>
        <v>0</v>
      </c>
      <c r="F47" s="423">
        <v>0</v>
      </c>
      <c r="G47" s="904">
        <v>0</v>
      </c>
    </row>
    <row r="48" spans="1:7" s="313" customFormat="1" ht="15.75" customHeight="1" hidden="1" thickBot="1">
      <c r="A48" s="328"/>
      <c r="B48" s="421" t="s">
        <v>52</v>
      </c>
      <c r="C48" s="403"/>
      <c r="D48" s="418"/>
      <c r="E48" s="422">
        <f>SUM(F48:G48)</f>
        <v>0</v>
      </c>
      <c r="F48" s="423">
        <v>0</v>
      </c>
      <c r="G48" s="904">
        <v>0</v>
      </c>
    </row>
    <row r="49" spans="1:7" s="313" customFormat="1" ht="15.75" thickBot="1">
      <c r="A49" s="328"/>
      <c r="B49" s="631" t="s">
        <v>176</v>
      </c>
      <c r="C49" s="695"/>
      <c r="D49" s="696"/>
      <c r="E49" s="873">
        <f>SUM(F49:G49)</f>
        <v>33550</v>
      </c>
      <c r="F49" s="905">
        <f>34000-450</f>
        <v>33550</v>
      </c>
      <c r="G49" s="874">
        <v>0</v>
      </c>
    </row>
    <row r="50" spans="1:7" s="313" customFormat="1" ht="18" customHeight="1" thickBot="1">
      <c r="A50" s="186" t="s">
        <v>11</v>
      </c>
      <c r="B50" s="426"/>
      <c r="C50" s="427"/>
      <c r="D50" s="428"/>
      <c r="E50" s="429">
        <f>SUM(E51:E71)+E73+E78</f>
        <v>2377248</v>
      </c>
      <c r="F50" s="429">
        <f>SUM(F51:F71)+F73+F78</f>
        <v>2377248</v>
      </c>
      <c r="G50" s="429">
        <f>SUM(G51:G71)+G73+G78</f>
        <v>0</v>
      </c>
    </row>
    <row r="51" spans="1:7" s="313" customFormat="1" ht="32.25" customHeight="1">
      <c r="A51" s="181" t="s">
        <v>3</v>
      </c>
      <c r="B51" s="430" t="s">
        <v>114</v>
      </c>
      <c r="C51" s="397"/>
      <c r="D51" s="431"/>
      <c r="E51" s="906">
        <f aca="true" t="shared" si="3" ref="E51:E67">SUM(F51:G51)</f>
        <v>500000</v>
      </c>
      <c r="F51" s="906">
        <f>0+500000</f>
        <v>500000</v>
      </c>
      <c r="G51" s="907">
        <f>500000-500000</f>
        <v>0</v>
      </c>
    </row>
    <row r="52" spans="1:7" s="313" customFormat="1" ht="33.75" customHeight="1">
      <c r="A52" s="217"/>
      <c r="B52" s="434" t="s">
        <v>168</v>
      </c>
      <c r="C52" s="435"/>
      <c r="D52" s="435"/>
      <c r="E52" s="889">
        <f t="shared" si="3"/>
        <v>10488</v>
      </c>
      <c r="F52" s="908">
        <v>10488</v>
      </c>
      <c r="G52" s="877">
        <v>0</v>
      </c>
    </row>
    <row r="53" spans="1:7" s="313" customFormat="1" ht="32.25" customHeight="1" thickBot="1">
      <c r="A53" s="218"/>
      <c r="B53" s="436" t="s">
        <v>184</v>
      </c>
      <c r="C53" s="437">
        <v>15000</v>
      </c>
      <c r="D53" s="438">
        <v>15000</v>
      </c>
      <c r="E53" s="909">
        <f t="shared" si="3"/>
        <v>50000</v>
      </c>
      <c r="F53" s="909">
        <v>50000</v>
      </c>
      <c r="G53" s="910">
        <v>0</v>
      </c>
    </row>
    <row r="54" spans="1:8" s="313" customFormat="1" ht="15.75" customHeight="1">
      <c r="A54" s="219" t="s">
        <v>44</v>
      </c>
      <c r="B54" s="689" t="s">
        <v>129</v>
      </c>
      <c r="C54" s="330">
        <v>15000</v>
      </c>
      <c r="D54" s="598">
        <v>15000</v>
      </c>
      <c r="E54" s="911">
        <f t="shared" si="3"/>
        <v>41500</v>
      </c>
      <c r="F54" s="912">
        <f>50000-12500+4000</f>
        <v>41500</v>
      </c>
      <c r="G54" s="913">
        <v>0</v>
      </c>
      <c r="H54" s="335"/>
    </row>
    <row r="55" spans="1:8" s="313" customFormat="1" ht="15" customHeight="1">
      <c r="A55" s="221"/>
      <c r="B55" s="413" t="s">
        <v>130</v>
      </c>
      <c r="C55" s="379"/>
      <c r="D55" s="380"/>
      <c r="E55" s="875">
        <f t="shared" si="3"/>
        <v>10000</v>
      </c>
      <c r="F55" s="914">
        <v>10000</v>
      </c>
      <c r="G55" s="915">
        <v>0</v>
      </c>
      <c r="H55" s="313" t="s">
        <v>131</v>
      </c>
    </row>
    <row r="56" spans="1:8" s="313" customFormat="1" ht="16.5" customHeight="1">
      <c r="A56" s="222"/>
      <c r="B56" s="394" t="s">
        <v>132</v>
      </c>
      <c r="C56" s="379"/>
      <c r="D56" s="380"/>
      <c r="E56" s="875">
        <f t="shared" si="3"/>
        <v>40500</v>
      </c>
      <c r="F56" s="914">
        <f>40000+500</f>
        <v>40500</v>
      </c>
      <c r="G56" s="915">
        <v>0</v>
      </c>
      <c r="H56" s="313" t="s">
        <v>133</v>
      </c>
    </row>
    <row r="57" spans="1:8" s="313" customFormat="1" ht="18" customHeight="1">
      <c r="A57" s="222"/>
      <c r="B57" s="394" t="s">
        <v>68</v>
      </c>
      <c r="C57" s="379"/>
      <c r="D57" s="380"/>
      <c r="E57" s="875">
        <f t="shared" si="3"/>
        <v>18000</v>
      </c>
      <c r="F57" s="914">
        <f>14000+4000</f>
        <v>18000</v>
      </c>
      <c r="G57" s="915">
        <v>0</v>
      </c>
      <c r="H57" s="313" t="s">
        <v>134</v>
      </c>
    </row>
    <row r="58" spans="1:8" s="366" customFormat="1" ht="16.5" customHeight="1">
      <c r="A58" s="685"/>
      <c r="B58" s="378" t="s">
        <v>149</v>
      </c>
      <c r="C58" s="435"/>
      <c r="D58" s="435"/>
      <c r="E58" s="889">
        <f t="shared" si="3"/>
        <v>62500</v>
      </c>
      <c r="F58" s="908">
        <f>66000-3500</f>
        <v>62500</v>
      </c>
      <c r="G58" s="877">
        <v>0</v>
      </c>
      <c r="H58" s="366" t="s">
        <v>135</v>
      </c>
    </row>
    <row r="59" spans="1:7" s="313" customFormat="1" ht="18" customHeight="1">
      <c r="A59" s="223"/>
      <c r="B59" s="434" t="s">
        <v>123</v>
      </c>
      <c r="C59" s="435"/>
      <c r="D59" s="435"/>
      <c r="E59" s="889">
        <f t="shared" si="3"/>
        <v>25000</v>
      </c>
      <c r="F59" s="908">
        <v>25000</v>
      </c>
      <c r="G59" s="877">
        <v>0</v>
      </c>
    </row>
    <row r="60" spans="1:7" s="313" customFormat="1" ht="16.5" customHeight="1">
      <c r="A60" s="223"/>
      <c r="B60" s="336" t="s">
        <v>115</v>
      </c>
      <c r="C60" s="337"/>
      <c r="D60" s="337"/>
      <c r="E60" s="916">
        <f t="shared" si="3"/>
        <v>11310</v>
      </c>
      <c r="F60" s="917">
        <f>15000-3690</f>
        <v>11310</v>
      </c>
      <c r="G60" s="874">
        <v>0</v>
      </c>
    </row>
    <row r="61" spans="1:7" s="313" customFormat="1" ht="16.5" customHeight="1">
      <c r="A61" s="223"/>
      <c r="B61" s="434" t="s">
        <v>182</v>
      </c>
      <c r="C61" s="435"/>
      <c r="D61" s="435"/>
      <c r="E61" s="889">
        <f t="shared" si="3"/>
        <v>381000</v>
      </c>
      <c r="F61" s="908">
        <v>381000</v>
      </c>
      <c r="G61" s="877">
        <v>0</v>
      </c>
    </row>
    <row r="62" spans="1:8" s="313" customFormat="1" ht="16.5" customHeight="1">
      <c r="A62" s="223"/>
      <c r="B62" s="434" t="s">
        <v>124</v>
      </c>
      <c r="C62" s="435">
        <v>12500</v>
      </c>
      <c r="D62" s="435">
        <v>12500</v>
      </c>
      <c r="E62" s="889">
        <f t="shared" si="3"/>
        <v>0</v>
      </c>
      <c r="F62" s="908">
        <v>0</v>
      </c>
      <c r="G62" s="877">
        <v>0</v>
      </c>
      <c r="H62" s="313" t="s">
        <v>70</v>
      </c>
    </row>
    <row r="63" spans="1:7" s="313" customFormat="1" ht="16.5" customHeight="1">
      <c r="A63" s="223"/>
      <c r="B63" s="434" t="s">
        <v>180</v>
      </c>
      <c r="C63" s="435"/>
      <c r="D63" s="435"/>
      <c r="E63" s="889">
        <f t="shared" si="3"/>
        <v>3950</v>
      </c>
      <c r="F63" s="908">
        <v>3950</v>
      </c>
      <c r="G63" s="877"/>
    </row>
    <row r="64" spans="1:7" s="313" customFormat="1" ht="16.5" customHeight="1">
      <c r="A64" s="223"/>
      <c r="B64" s="434" t="s">
        <v>181</v>
      </c>
      <c r="C64" s="435"/>
      <c r="D64" s="435"/>
      <c r="E64" s="889">
        <f t="shared" si="3"/>
        <v>0</v>
      </c>
      <c r="F64" s="908">
        <f>3050-3050</f>
        <v>0</v>
      </c>
      <c r="G64" s="877"/>
    </row>
    <row r="65" spans="1:7" s="313" customFormat="1" ht="18" customHeight="1">
      <c r="A65" s="223"/>
      <c r="B65" s="434" t="s">
        <v>136</v>
      </c>
      <c r="C65" s="435">
        <v>12500</v>
      </c>
      <c r="D65" s="435">
        <v>12500</v>
      </c>
      <c r="E65" s="889">
        <f t="shared" si="3"/>
        <v>0</v>
      </c>
      <c r="F65" s="908">
        <f>105000-105000</f>
        <v>0</v>
      </c>
      <c r="G65" s="877">
        <v>0</v>
      </c>
    </row>
    <row r="66" spans="1:7" s="313" customFormat="1" ht="17.25" customHeight="1">
      <c r="A66" s="223"/>
      <c r="B66" s="434" t="s">
        <v>170</v>
      </c>
      <c r="C66" s="435"/>
      <c r="D66" s="435"/>
      <c r="E66" s="889">
        <f t="shared" si="3"/>
        <v>359700</v>
      </c>
      <c r="F66" s="908">
        <f>350000+10000-300</f>
        <v>359700</v>
      </c>
      <c r="G66" s="877">
        <v>0</v>
      </c>
    </row>
    <row r="67" spans="1:7" s="313" customFormat="1" ht="16.5" customHeight="1">
      <c r="A67" s="223"/>
      <c r="B67" s="434" t="s">
        <v>171</v>
      </c>
      <c r="C67" s="435"/>
      <c r="D67" s="435"/>
      <c r="E67" s="889">
        <f t="shared" si="3"/>
        <v>0</v>
      </c>
      <c r="F67" s="908">
        <f>160000-160000</f>
        <v>0</v>
      </c>
      <c r="G67" s="877">
        <v>0</v>
      </c>
    </row>
    <row r="68" spans="1:7" s="313" customFormat="1" ht="16.5" customHeight="1" hidden="1">
      <c r="A68" s="754" t="s">
        <v>6</v>
      </c>
      <c r="B68" s="822" t="s">
        <v>7</v>
      </c>
      <c r="C68" s="446" t="s">
        <v>18</v>
      </c>
      <c r="D68" s="446" t="s">
        <v>8</v>
      </c>
      <c r="E68" s="918" t="s">
        <v>47</v>
      </c>
      <c r="F68" s="919" t="s">
        <v>19</v>
      </c>
      <c r="G68" s="920"/>
    </row>
    <row r="69" spans="1:7" s="313" customFormat="1" ht="16.5" customHeight="1" hidden="1">
      <c r="A69" s="777"/>
      <c r="B69" s="823"/>
      <c r="C69" s="446" t="s">
        <v>0</v>
      </c>
      <c r="D69" s="446" t="s">
        <v>14</v>
      </c>
      <c r="E69" s="921"/>
      <c r="F69" s="918" t="s">
        <v>13</v>
      </c>
      <c r="G69" s="922" t="s">
        <v>20</v>
      </c>
    </row>
    <row r="70" spans="1:7" s="313" customFormat="1" ht="16.5" customHeight="1" hidden="1">
      <c r="A70" s="778"/>
      <c r="B70" s="823"/>
      <c r="C70" s="446"/>
      <c r="D70" s="446" t="s">
        <v>15</v>
      </c>
      <c r="E70" s="921"/>
      <c r="F70" s="921"/>
      <c r="G70" s="923"/>
    </row>
    <row r="71" spans="1:7" s="313" customFormat="1" ht="16.5" customHeight="1" hidden="1">
      <c r="A71" s="325"/>
      <c r="B71" s="447" t="s">
        <v>105</v>
      </c>
      <c r="C71" s="448"/>
      <c r="D71" s="448"/>
      <c r="E71" s="924">
        <f>SUM(F71:G71)</f>
        <v>0</v>
      </c>
      <c r="F71" s="925">
        <v>0</v>
      </c>
      <c r="G71" s="926"/>
    </row>
    <row r="72" spans="1:7" s="313" customFormat="1" ht="19.5" customHeight="1" hidden="1">
      <c r="A72" s="223"/>
      <c r="B72" s="451"/>
      <c r="C72" s="365"/>
      <c r="D72" s="366"/>
      <c r="E72" s="587"/>
      <c r="F72" s="587"/>
      <c r="G72" s="587"/>
    </row>
    <row r="73" spans="1:7" s="313" customFormat="1" ht="39.75" customHeight="1" hidden="1">
      <c r="A73" s="182" t="s">
        <v>29</v>
      </c>
      <c r="B73" s="415" t="s">
        <v>34</v>
      </c>
      <c r="C73" s="452"/>
      <c r="D73" s="453"/>
      <c r="E73" s="927">
        <f>SUM(F73:G73)</f>
        <v>0</v>
      </c>
      <c r="F73" s="928">
        <f>SUM(F74:F77)</f>
        <v>0</v>
      </c>
      <c r="G73" s="928">
        <v>0</v>
      </c>
    </row>
    <row r="74" spans="1:7" s="313" customFormat="1" ht="16.5" customHeight="1" hidden="1">
      <c r="A74" s="224"/>
      <c r="B74" s="454" t="s">
        <v>30</v>
      </c>
      <c r="C74" s="455"/>
      <c r="D74" s="456"/>
      <c r="E74" s="929"/>
      <c r="F74" s="930">
        <v>0</v>
      </c>
      <c r="G74" s="930">
        <v>0</v>
      </c>
    </row>
    <row r="75" spans="1:7" s="313" customFormat="1" ht="16.5" customHeight="1" hidden="1">
      <c r="A75" s="208"/>
      <c r="B75" s="459" t="s">
        <v>31</v>
      </c>
      <c r="C75" s="460"/>
      <c r="D75" s="461"/>
      <c r="E75" s="931"/>
      <c r="F75" s="932">
        <v>0</v>
      </c>
      <c r="G75" s="932">
        <v>0</v>
      </c>
    </row>
    <row r="76" spans="1:7" s="313" customFormat="1" ht="16.5" customHeight="1" hidden="1">
      <c r="A76" s="208"/>
      <c r="B76" s="459" t="s">
        <v>32</v>
      </c>
      <c r="C76" s="460"/>
      <c r="D76" s="461"/>
      <c r="E76" s="931"/>
      <c r="F76" s="932">
        <v>0</v>
      </c>
      <c r="G76" s="932">
        <v>0</v>
      </c>
    </row>
    <row r="77" spans="1:7" s="313" customFormat="1" ht="16.5" customHeight="1" hidden="1">
      <c r="A77" s="225"/>
      <c r="B77" s="464" t="s">
        <v>33</v>
      </c>
      <c r="C77" s="465"/>
      <c r="D77" s="466"/>
      <c r="E77" s="422"/>
      <c r="F77" s="933">
        <v>0</v>
      </c>
      <c r="G77" s="933">
        <v>0</v>
      </c>
    </row>
    <row r="78" spans="1:7" s="366" customFormat="1" ht="16.5" customHeight="1" thickBot="1">
      <c r="A78" s="632"/>
      <c r="B78" s="434" t="s">
        <v>177</v>
      </c>
      <c r="C78" s="435"/>
      <c r="D78" s="435"/>
      <c r="E78" s="889">
        <f aca="true" t="shared" si="4" ref="E78:E85">SUM(F78:G78)</f>
        <v>863300</v>
      </c>
      <c r="F78" s="908">
        <f>865000-800000-10000+800000+8000+300</f>
        <v>863300</v>
      </c>
      <c r="G78" s="877">
        <f>0+800000-800000</f>
        <v>0</v>
      </c>
    </row>
    <row r="79" spans="1:7" s="313" customFormat="1" ht="16.5" customHeight="1" thickBot="1">
      <c r="A79" s="185" t="s">
        <v>137</v>
      </c>
      <c r="B79" s="469"/>
      <c r="C79" s="470"/>
      <c r="D79" s="471"/>
      <c r="E79" s="934">
        <f t="shared" si="4"/>
        <v>0</v>
      </c>
      <c r="F79" s="935">
        <f>SUM(F80:F81)</f>
        <v>0</v>
      </c>
      <c r="G79" s="936">
        <f>SUM(G80:G82)</f>
        <v>0</v>
      </c>
    </row>
    <row r="80" spans="1:7" s="313" customFormat="1" ht="30" customHeight="1" thickBot="1">
      <c r="A80" s="632" t="s">
        <v>138</v>
      </c>
      <c r="B80" s="425" t="s">
        <v>139</v>
      </c>
      <c r="C80" s="465"/>
      <c r="D80" s="466"/>
      <c r="E80" s="886">
        <f t="shared" si="4"/>
        <v>0</v>
      </c>
      <c r="F80" s="937">
        <f>15000-15000</f>
        <v>0</v>
      </c>
      <c r="G80" s="904">
        <v>0</v>
      </c>
    </row>
    <row r="81" spans="1:7" s="313" customFormat="1" ht="19.5" customHeight="1" thickBot="1">
      <c r="A81" s="633"/>
      <c r="B81" s="425" t="s">
        <v>140</v>
      </c>
      <c r="C81" s="465"/>
      <c r="D81" s="466"/>
      <c r="E81" s="886">
        <f t="shared" si="4"/>
        <v>0</v>
      </c>
      <c r="F81" s="937">
        <f>20000-20000</f>
        <v>0</v>
      </c>
      <c r="G81" s="904">
        <v>0</v>
      </c>
    </row>
    <row r="82" spans="1:7" s="313" customFormat="1" ht="15.75" customHeight="1" thickBot="1">
      <c r="A82" s="634" t="s">
        <v>36</v>
      </c>
      <c r="B82" s="476"/>
      <c r="C82" s="477"/>
      <c r="D82" s="477"/>
      <c r="E82" s="938">
        <f t="shared" si="4"/>
        <v>16500</v>
      </c>
      <c r="F82" s="939">
        <f>SUM(F83:F85)</f>
        <v>16500</v>
      </c>
      <c r="G82" s="939">
        <f>SUM(G83:G97)</f>
        <v>0</v>
      </c>
    </row>
    <row r="83" spans="1:7" s="313" customFormat="1" ht="17.25" customHeight="1" thickBot="1">
      <c r="A83" s="635" t="s">
        <v>4</v>
      </c>
      <c r="B83" s="480" t="s">
        <v>169</v>
      </c>
      <c r="C83" s="481"/>
      <c r="D83" s="482"/>
      <c r="E83" s="940">
        <f t="shared" si="4"/>
        <v>5100</v>
      </c>
      <c r="F83" s="941">
        <v>5100</v>
      </c>
      <c r="G83" s="942">
        <v>0</v>
      </c>
    </row>
    <row r="84" spans="1:7" s="366" customFormat="1" ht="15" customHeight="1" thickBot="1">
      <c r="A84" s="636"/>
      <c r="B84" s="480" t="s">
        <v>172</v>
      </c>
      <c r="C84" s="481"/>
      <c r="D84" s="482"/>
      <c r="E84" s="940">
        <f t="shared" si="4"/>
        <v>1400</v>
      </c>
      <c r="F84" s="941">
        <f>45000-25000-5000-13600</f>
        <v>1400</v>
      </c>
      <c r="G84" s="942">
        <v>0</v>
      </c>
    </row>
    <row r="85" spans="1:7" s="313" customFormat="1" ht="22.5" customHeight="1" thickBot="1">
      <c r="A85" s="637" t="s">
        <v>106</v>
      </c>
      <c r="B85" s="486" t="s">
        <v>125</v>
      </c>
      <c r="C85" s="481"/>
      <c r="D85" s="482"/>
      <c r="E85" s="940">
        <f t="shared" si="4"/>
        <v>10000</v>
      </c>
      <c r="F85" s="941">
        <v>10000</v>
      </c>
      <c r="G85" s="942">
        <v>0</v>
      </c>
    </row>
    <row r="86" spans="1:7" s="313" customFormat="1" ht="15" customHeight="1" hidden="1">
      <c r="A86" s="636"/>
      <c r="B86" s="489"/>
      <c r="C86" s="490"/>
      <c r="D86" s="490"/>
      <c r="E86" s="943"/>
      <c r="F86" s="944"/>
      <c r="G86" s="932"/>
    </row>
    <row r="87" spans="1:7" s="313" customFormat="1" ht="15" customHeight="1" hidden="1">
      <c r="A87" s="636"/>
      <c r="B87" s="489"/>
      <c r="C87" s="490"/>
      <c r="D87" s="490"/>
      <c r="E87" s="943"/>
      <c r="F87" s="944"/>
      <c r="G87" s="932"/>
    </row>
    <row r="88" spans="1:7" s="313" customFormat="1" ht="26.25" customHeight="1" thickBot="1">
      <c r="A88" s="634" t="s">
        <v>66</v>
      </c>
      <c r="B88" s="476"/>
      <c r="C88" s="477"/>
      <c r="D88" s="477"/>
      <c r="E88" s="938">
        <f aca="true" t="shared" si="5" ref="E88:E93">SUM(F88:G88)</f>
        <v>63028</v>
      </c>
      <c r="F88" s="939">
        <f>SUM(F89:F90)</f>
        <v>63028</v>
      </c>
      <c r="G88" s="939">
        <f>SUM(G89:G99)</f>
        <v>0</v>
      </c>
    </row>
    <row r="89" spans="1:8" s="701" customFormat="1" ht="23.25" customHeight="1" thickBot="1">
      <c r="A89" s="702" t="s">
        <v>65</v>
      </c>
      <c r="B89" s="697" t="s">
        <v>216</v>
      </c>
      <c r="C89" s="698"/>
      <c r="D89" s="699"/>
      <c r="E89" s="945">
        <f t="shared" si="5"/>
        <v>4428</v>
      </c>
      <c r="F89" s="946">
        <f>0+3700+728</f>
        <v>4428</v>
      </c>
      <c r="G89" s="947">
        <v>0</v>
      </c>
      <c r="H89" s="700" t="s">
        <v>215</v>
      </c>
    </row>
    <row r="90" spans="1:8" s="366" customFormat="1" ht="18" customHeight="1" thickBot="1">
      <c r="A90" s="633"/>
      <c r="B90" s="493" t="s">
        <v>173</v>
      </c>
      <c r="C90" s="437"/>
      <c r="D90" s="438"/>
      <c r="E90" s="948">
        <f t="shared" si="5"/>
        <v>58600</v>
      </c>
      <c r="F90" s="949">
        <f>35000+25000-1400</f>
        <v>58600</v>
      </c>
      <c r="G90" s="950">
        <v>0</v>
      </c>
      <c r="H90" s="366" t="s">
        <v>109</v>
      </c>
    </row>
    <row r="91" spans="1:7" s="313" customFormat="1" ht="14.25" customHeight="1" thickBot="1">
      <c r="A91" s="634" t="s">
        <v>60</v>
      </c>
      <c r="B91" s="469"/>
      <c r="C91" s="470"/>
      <c r="D91" s="471"/>
      <c r="E91" s="934">
        <f t="shared" si="5"/>
        <v>342</v>
      </c>
      <c r="F91" s="935">
        <f>SUM(F92)</f>
        <v>342</v>
      </c>
      <c r="G91" s="936">
        <f>SUM(G92:G93)</f>
        <v>0</v>
      </c>
    </row>
    <row r="92" spans="1:7" s="313" customFormat="1" ht="16.5" customHeight="1" thickBot="1">
      <c r="A92" s="633" t="s">
        <v>61</v>
      </c>
      <c r="B92" s="425" t="s">
        <v>62</v>
      </c>
      <c r="C92" s="465"/>
      <c r="D92" s="466"/>
      <c r="E92" s="886">
        <f t="shared" si="5"/>
        <v>342</v>
      </c>
      <c r="F92" s="937">
        <f>342+10000-10000</f>
        <v>342</v>
      </c>
      <c r="G92" s="904">
        <v>0</v>
      </c>
    </row>
    <row r="93" spans="1:7" s="313" customFormat="1" ht="28.5" customHeight="1" hidden="1">
      <c r="A93" s="638" t="s">
        <v>48</v>
      </c>
      <c r="B93" s="493" t="s">
        <v>49</v>
      </c>
      <c r="C93" s="437"/>
      <c r="D93" s="438"/>
      <c r="E93" s="948">
        <f t="shared" si="5"/>
        <v>0</v>
      </c>
      <c r="F93" s="949">
        <v>0</v>
      </c>
      <c r="G93" s="950">
        <v>0</v>
      </c>
    </row>
    <row r="94" spans="1:7" s="313" customFormat="1" ht="12.75" customHeight="1" hidden="1">
      <c r="A94" s="855" t="s">
        <v>6</v>
      </c>
      <c r="B94" s="785" t="s">
        <v>7</v>
      </c>
      <c r="C94" s="406" t="s">
        <v>18</v>
      </c>
      <c r="D94" s="407" t="s">
        <v>8</v>
      </c>
      <c r="E94" s="865" t="s">
        <v>96</v>
      </c>
      <c r="F94" s="951" t="s">
        <v>19</v>
      </c>
      <c r="G94" s="952"/>
    </row>
    <row r="95" spans="1:7" s="313" customFormat="1" ht="12.75" customHeight="1" hidden="1">
      <c r="A95" s="856"/>
      <c r="B95" s="831"/>
      <c r="C95" s="408" t="s">
        <v>0</v>
      </c>
      <c r="D95" s="409" t="s">
        <v>14</v>
      </c>
      <c r="E95" s="868"/>
      <c r="F95" s="953" t="s">
        <v>54</v>
      </c>
      <c r="G95" s="954" t="s">
        <v>55</v>
      </c>
    </row>
    <row r="96" spans="1:7" s="313" customFormat="1" ht="10.5" customHeight="1" hidden="1">
      <c r="A96" s="857"/>
      <c r="B96" s="832"/>
      <c r="C96" s="410"/>
      <c r="D96" s="411" t="s">
        <v>15</v>
      </c>
      <c r="E96" s="955"/>
      <c r="F96" s="956"/>
      <c r="G96" s="957"/>
    </row>
    <row r="97" spans="1:7" s="313" customFormat="1" ht="20.25" customHeight="1" hidden="1">
      <c r="A97" s="639"/>
      <c r="B97" s="496" t="s">
        <v>38</v>
      </c>
      <c r="C97" s="460"/>
      <c r="D97" s="461"/>
      <c r="E97" s="958">
        <f aca="true" t="shared" si="6" ref="E97:E115">SUM(F97:G97)</f>
        <v>0</v>
      </c>
      <c r="F97" s="959">
        <v>0</v>
      </c>
      <c r="G97" s="942">
        <v>0</v>
      </c>
    </row>
    <row r="98" spans="1:9" s="304" customFormat="1" ht="16.5" customHeight="1" thickBot="1">
      <c r="A98" s="634" t="s">
        <v>12</v>
      </c>
      <c r="B98" s="497"/>
      <c r="C98" s="498">
        <v>12500</v>
      </c>
      <c r="D98" s="499">
        <v>12500</v>
      </c>
      <c r="E98" s="934">
        <f t="shared" si="6"/>
        <v>2058387</v>
      </c>
      <c r="F98" s="960">
        <f>SUM(F99:F109)+F110</f>
        <v>2058387</v>
      </c>
      <c r="G98" s="936">
        <f>SUM(G99:G103)</f>
        <v>0</v>
      </c>
      <c r="H98" s="207"/>
      <c r="I98" s="207"/>
    </row>
    <row r="99" spans="1:9" s="304" customFormat="1" ht="18.75" customHeight="1">
      <c r="A99" s="640" t="s">
        <v>26</v>
      </c>
      <c r="B99" s="416" t="s">
        <v>101</v>
      </c>
      <c r="C99" s="501"/>
      <c r="D99" s="502"/>
      <c r="E99" s="875">
        <f t="shared" si="6"/>
        <v>550000</v>
      </c>
      <c r="F99" s="961">
        <v>550000</v>
      </c>
      <c r="G99" s="915">
        <v>0</v>
      </c>
      <c r="H99" s="207"/>
      <c r="I99" s="207"/>
    </row>
    <row r="100" spans="1:9" s="304" customFormat="1" ht="21" customHeight="1">
      <c r="A100" s="641"/>
      <c r="B100" s="416" t="s">
        <v>112</v>
      </c>
      <c r="C100" s="501"/>
      <c r="D100" s="502"/>
      <c r="E100" s="875">
        <f t="shared" si="6"/>
        <v>1245687</v>
      </c>
      <c r="F100" s="961">
        <f>1205687+40000</f>
        <v>1245687</v>
      </c>
      <c r="G100" s="915">
        <v>0</v>
      </c>
      <c r="H100" s="207"/>
      <c r="I100" s="207"/>
    </row>
    <row r="101" spans="1:9" s="304" customFormat="1" ht="19.5" customHeight="1">
      <c r="A101" s="642"/>
      <c r="B101" s="415" t="s">
        <v>92</v>
      </c>
      <c r="C101" s="504">
        <v>47000</v>
      </c>
      <c r="D101" s="505">
        <v>47000</v>
      </c>
      <c r="E101" s="886">
        <f t="shared" si="6"/>
        <v>10000</v>
      </c>
      <c r="F101" s="962">
        <v>10000</v>
      </c>
      <c r="G101" s="928">
        <v>0</v>
      </c>
      <c r="H101" s="207"/>
      <c r="I101" s="207"/>
    </row>
    <row r="102" spans="1:9" s="304" customFormat="1" ht="18" customHeight="1" thickBot="1">
      <c r="A102" s="643"/>
      <c r="B102" s="507" t="s">
        <v>122</v>
      </c>
      <c r="C102" s="508"/>
      <c r="D102" s="508"/>
      <c r="E102" s="886">
        <f t="shared" si="6"/>
        <v>7000</v>
      </c>
      <c r="F102" s="962">
        <v>7000</v>
      </c>
      <c r="G102" s="928"/>
      <c r="H102" s="207"/>
      <c r="I102" s="207"/>
    </row>
    <row r="103" spans="1:9" s="304" customFormat="1" ht="17.25" customHeight="1">
      <c r="A103" s="644" t="s">
        <v>27</v>
      </c>
      <c r="B103" s="415" t="s">
        <v>174</v>
      </c>
      <c r="C103" s="501"/>
      <c r="D103" s="502"/>
      <c r="E103" s="914">
        <f t="shared" si="6"/>
        <v>240000</v>
      </c>
      <c r="F103" s="961">
        <f>210000+30000</f>
        <v>240000</v>
      </c>
      <c r="G103" s="915">
        <v>0</v>
      </c>
      <c r="H103" s="207"/>
      <c r="I103" s="207"/>
    </row>
    <row r="104" spans="1:7" ht="15.75" hidden="1">
      <c r="A104" s="645" t="s">
        <v>63</v>
      </c>
      <c r="B104" s="416"/>
      <c r="C104" s="379"/>
      <c r="D104" s="380"/>
      <c r="E104" s="963">
        <f t="shared" si="6"/>
        <v>0</v>
      </c>
      <c r="F104" s="964">
        <f>SUM(F105)</f>
        <v>0</v>
      </c>
      <c r="G104" s="965">
        <f>SUM(G105)</f>
        <v>0</v>
      </c>
    </row>
    <row r="105" spans="1:7" ht="24" customHeight="1" hidden="1">
      <c r="A105" s="646" t="s">
        <v>64</v>
      </c>
      <c r="B105" s="493" t="s">
        <v>87</v>
      </c>
      <c r="C105" s="437"/>
      <c r="D105" s="438"/>
      <c r="E105" s="966">
        <f t="shared" si="6"/>
        <v>0</v>
      </c>
      <c r="F105" s="909">
        <v>0</v>
      </c>
      <c r="G105" s="910">
        <v>0</v>
      </c>
    </row>
    <row r="106" spans="1:7" ht="24" customHeight="1" hidden="1">
      <c r="A106" s="647"/>
      <c r="B106" s="416" t="s">
        <v>110</v>
      </c>
      <c r="C106" s="501"/>
      <c r="D106" s="502"/>
      <c r="E106" s="914">
        <f t="shared" si="6"/>
        <v>0</v>
      </c>
      <c r="F106" s="961">
        <v>0</v>
      </c>
      <c r="G106" s="967">
        <v>0</v>
      </c>
    </row>
    <row r="107" spans="1:7" ht="16.5" customHeight="1" hidden="1">
      <c r="A107" s="648"/>
      <c r="B107" s="416" t="s">
        <v>111</v>
      </c>
      <c r="C107" s="501"/>
      <c r="D107" s="502"/>
      <c r="E107" s="914">
        <f t="shared" si="6"/>
        <v>0</v>
      </c>
      <c r="F107" s="961">
        <v>0</v>
      </c>
      <c r="G107" s="915">
        <v>0</v>
      </c>
    </row>
    <row r="108" spans="1:7" ht="18" customHeight="1" hidden="1">
      <c r="A108" s="649" t="s">
        <v>99</v>
      </c>
      <c r="B108" s="416" t="s">
        <v>100</v>
      </c>
      <c r="C108" s="501"/>
      <c r="D108" s="502"/>
      <c r="E108" s="914">
        <f t="shared" si="6"/>
        <v>0</v>
      </c>
      <c r="F108" s="961">
        <v>0</v>
      </c>
      <c r="G108" s="915">
        <v>0</v>
      </c>
    </row>
    <row r="109" spans="1:7" ht="18" customHeight="1" hidden="1">
      <c r="A109" s="650"/>
      <c r="B109" s="415" t="s">
        <v>92</v>
      </c>
      <c r="C109" s="504">
        <v>47000</v>
      </c>
      <c r="D109" s="505">
        <v>47000</v>
      </c>
      <c r="E109" s="886">
        <f t="shared" si="6"/>
        <v>0</v>
      </c>
      <c r="F109" s="962">
        <v>0</v>
      </c>
      <c r="G109" s="928">
        <v>0</v>
      </c>
    </row>
    <row r="110" spans="1:7" ht="18" customHeight="1" thickBot="1">
      <c r="A110" s="650" t="s">
        <v>178</v>
      </c>
      <c r="B110" s="496" t="s">
        <v>179</v>
      </c>
      <c r="C110" s="514"/>
      <c r="D110" s="515"/>
      <c r="E110" s="914">
        <f t="shared" si="6"/>
        <v>5700</v>
      </c>
      <c r="F110" s="961">
        <v>5700</v>
      </c>
      <c r="G110" s="915">
        <v>0</v>
      </c>
    </row>
    <row r="111" spans="1:7" ht="18" customHeight="1" thickBot="1">
      <c r="A111" s="634" t="s">
        <v>107</v>
      </c>
      <c r="B111" s="497"/>
      <c r="C111" s="498">
        <v>12500</v>
      </c>
      <c r="D111" s="499">
        <v>12500</v>
      </c>
      <c r="E111" s="934">
        <f t="shared" si="6"/>
        <v>50000</v>
      </c>
      <c r="F111" s="968">
        <f>SUM(F112)</f>
        <v>50000</v>
      </c>
      <c r="G111" s="936">
        <f>SUM(G112)</f>
        <v>0</v>
      </c>
    </row>
    <row r="112" spans="1:7" ht="20.25" customHeight="1" thickBot="1">
      <c r="A112" s="651" t="s">
        <v>108</v>
      </c>
      <c r="B112" s="416" t="s">
        <v>162</v>
      </c>
      <c r="C112" s="501"/>
      <c r="D112" s="502"/>
      <c r="E112" s="875">
        <f t="shared" si="6"/>
        <v>50000</v>
      </c>
      <c r="F112" s="961">
        <f>50000-50000+50000</f>
        <v>50000</v>
      </c>
      <c r="G112" s="915">
        <v>0</v>
      </c>
    </row>
    <row r="113" spans="1:7" s="313" customFormat="1" ht="31.5" customHeight="1" thickBot="1">
      <c r="A113" s="652" t="s">
        <v>9</v>
      </c>
      <c r="B113" s="426"/>
      <c r="C113" s="427">
        <v>40000</v>
      </c>
      <c r="D113" s="517">
        <v>40000</v>
      </c>
      <c r="E113" s="934">
        <f t="shared" si="6"/>
        <v>156405</v>
      </c>
      <c r="F113" s="550">
        <f>SUM(F115:F120)</f>
        <v>156405</v>
      </c>
      <c r="G113" s="429">
        <f>SUM(G115:G120)</f>
        <v>0</v>
      </c>
    </row>
    <row r="114" spans="1:7" s="313" customFormat="1" ht="13.5" customHeight="1" hidden="1">
      <c r="A114" s="653"/>
      <c r="B114" s="520"/>
      <c r="C114" s="521"/>
      <c r="D114" s="522"/>
      <c r="E114" s="886">
        <f t="shared" si="6"/>
        <v>0</v>
      </c>
      <c r="F114" s="969"/>
      <c r="G114" s="965"/>
    </row>
    <row r="115" spans="1:7" s="313" customFormat="1" ht="19.5" customHeight="1" hidden="1">
      <c r="A115" s="654" t="s">
        <v>89</v>
      </c>
      <c r="B115" s="524" t="s">
        <v>91</v>
      </c>
      <c r="C115" s="525">
        <v>36475</v>
      </c>
      <c r="D115" s="526">
        <v>36475</v>
      </c>
      <c r="E115" s="948">
        <f t="shared" si="6"/>
        <v>0</v>
      </c>
      <c r="F115" s="970">
        <v>0</v>
      </c>
      <c r="G115" s="910">
        <v>0</v>
      </c>
    </row>
    <row r="116" spans="1:7" s="313" customFormat="1" ht="15.75" customHeight="1" hidden="1">
      <c r="A116" s="855" t="s">
        <v>6</v>
      </c>
      <c r="B116" s="785" t="s">
        <v>7</v>
      </c>
      <c r="C116" s="406" t="s">
        <v>18</v>
      </c>
      <c r="D116" s="407" t="s">
        <v>8</v>
      </c>
      <c r="E116" s="894" t="s">
        <v>37</v>
      </c>
      <c r="F116" s="895" t="s">
        <v>19</v>
      </c>
      <c r="G116" s="896"/>
    </row>
    <row r="117" spans="1:7" s="313" customFormat="1" ht="16.5" hidden="1" thickBot="1">
      <c r="A117" s="856"/>
      <c r="B117" s="831"/>
      <c r="C117" s="408" t="s">
        <v>0</v>
      </c>
      <c r="D117" s="409" t="s">
        <v>14</v>
      </c>
      <c r="E117" s="897"/>
      <c r="F117" s="898" t="s">
        <v>13</v>
      </c>
      <c r="G117" s="899" t="s">
        <v>20</v>
      </c>
    </row>
    <row r="118" spans="1:7" s="313" customFormat="1" ht="15" customHeight="1" hidden="1">
      <c r="A118" s="857"/>
      <c r="B118" s="832"/>
      <c r="C118" s="410"/>
      <c r="D118" s="411" t="s">
        <v>15</v>
      </c>
      <c r="E118" s="900"/>
      <c r="F118" s="901"/>
      <c r="G118" s="902"/>
    </row>
    <row r="119" spans="1:7" s="313" customFormat="1" ht="45" customHeight="1" hidden="1">
      <c r="A119" s="654" t="s">
        <v>40</v>
      </c>
      <c r="B119" s="528" t="s">
        <v>41</v>
      </c>
      <c r="C119" s="529">
        <v>36475</v>
      </c>
      <c r="D119" s="530">
        <v>36475</v>
      </c>
      <c r="E119" s="888">
        <f aca="true" t="shared" si="7" ref="E119:E129">SUM(F119:G119)</f>
        <v>0</v>
      </c>
      <c r="F119" s="971">
        <v>0</v>
      </c>
      <c r="G119" s="967">
        <v>0</v>
      </c>
    </row>
    <row r="120" spans="1:7" s="313" customFormat="1" ht="18" customHeight="1" thickBot="1">
      <c r="A120" s="655" t="s">
        <v>35</v>
      </c>
      <c r="B120" s="532"/>
      <c r="C120" s="533"/>
      <c r="D120" s="534"/>
      <c r="E120" s="972">
        <f t="shared" si="7"/>
        <v>156405</v>
      </c>
      <c r="F120" s="973">
        <f>SUM(F121:F129)</f>
        <v>156405</v>
      </c>
      <c r="G120" s="973">
        <f>SUM(G121:G129)</f>
        <v>0</v>
      </c>
    </row>
    <row r="121" spans="1:7" s="313" customFormat="1" ht="16.5" customHeight="1">
      <c r="A121" s="656"/>
      <c r="B121" s="537" t="s">
        <v>116</v>
      </c>
      <c r="C121" s="538">
        <v>36475</v>
      </c>
      <c r="D121" s="539">
        <v>36475</v>
      </c>
      <c r="E121" s="974">
        <f t="shared" si="7"/>
        <v>48146</v>
      </c>
      <c r="F121" s="941">
        <f>40000+8146</f>
        <v>48146</v>
      </c>
      <c r="G121" s="884">
        <v>0</v>
      </c>
    </row>
    <row r="122" spans="1:7" s="313" customFormat="1" ht="16.5" customHeight="1">
      <c r="A122" s="657"/>
      <c r="B122" s="541" t="s">
        <v>117</v>
      </c>
      <c r="C122" s="542"/>
      <c r="D122" s="543"/>
      <c r="E122" s="889">
        <f t="shared" si="7"/>
        <v>15000</v>
      </c>
      <c r="F122" s="908">
        <v>15000</v>
      </c>
      <c r="G122" s="877">
        <v>0</v>
      </c>
    </row>
    <row r="123" spans="1:7" s="313" customFormat="1" ht="18" customHeight="1">
      <c r="A123" s="657"/>
      <c r="B123" s="541" t="s">
        <v>118</v>
      </c>
      <c r="C123" s="538"/>
      <c r="D123" s="539"/>
      <c r="E123" s="889">
        <f t="shared" si="7"/>
        <v>8000</v>
      </c>
      <c r="F123" s="941">
        <v>8000</v>
      </c>
      <c r="G123" s="884">
        <v>0</v>
      </c>
    </row>
    <row r="124" spans="1:7" s="313" customFormat="1" ht="15.75" customHeight="1">
      <c r="A124" s="657"/>
      <c r="B124" s="544" t="s">
        <v>90</v>
      </c>
      <c r="C124" s="538"/>
      <c r="D124" s="539"/>
      <c r="E124" s="889">
        <f t="shared" si="7"/>
        <v>8200</v>
      </c>
      <c r="F124" s="975">
        <v>8200</v>
      </c>
      <c r="G124" s="884">
        <v>0</v>
      </c>
    </row>
    <row r="125" spans="1:7" s="313" customFormat="1" ht="16.5" customHeight="1">
      <c r="A125" s="657"/>
      <c r="B125" s="541" t="s">
        <v>119</v>
      </c>
      <c r="C125" s="542"/>
      <c r="D125" s="543"/>
      <c r="E125" s="974">
        <f t="shared" si="7"/>
        <v>3000</v>
      </c>
      <c r="F125" s="976">
        <v>3000</v>
      </c>
      <c r="G125" s="877">
        <v>0</v>
      </c>
    </row>
    <row r="126" spans="1:8" s="313" customFormat="1" ht="16.5" customHeight="1">
      <c r="A126" s="657"/>
      <c r="B126" s="541" t="s">
        <v>144</v>
      </c>
      <c r="C126" s="542"/>
      <c r="D126" s="543"/>
      <c r="E126" s="974">
        <f t="shared" si="7"/>
        <v>33759</v>
      </c>
      <c r="F126" s="976">
        <f>29000+4759</f>
        <v>33759</v>
      </c>
      <c r="G126" s="877"/>
      <c r="H126" s="313" t="s">
        <v>145</v>
      </c>
    </row>
    <row r="127" spans="1:7" s="313" customFormat="1" ht="17.25" customHeight="1">
      <c r="A127" s="657"/>
      <c r="B127" s="541" t="s">
        <v>121</v>
      </c>
      <c r="C127" s="542"/>
      <c r="D127" s="543"/>
      <c r="E127" s="974">
        <f t="shared" si="7"/>
        <v>3000</v>
      </c>
      <c r="F127" s="976">
        <v>3000</v>
      </c>
      <c r="G127" s="877"/>
    </row>
    <row r="128" spans="1:7" s="313" customFormat="1" ht="20.25" customHeight="1">
      <c r="A128" s="657"/>
      <c r="B128" s="611" t="s">
        <v>141</v>
      </c>
      <c r="C128" s="612"/>
      <c r="D128" s="613"/>
      <c r="E128" s="977">
        <f t="shared" si="7"/>
        <v>24500</v>
      </c>
      <c r="F128" s="978">
        <f>25000-500-12905+12905</f>
        <v>24500</v>
      </c>
      <c r="G128" s="874"/>
    </row>
    <row r="129" spans="1:8" s="313" customFormat="1" ht="20.25" customHeight="1" thickBot="1">
      <c r="A129" s="657"/>
      <c r="B129" s="547" t="s">
        <v>120</v>
      </c>
      <c r="C129" s="529"/>
      <c r="D129" s="530"/>
      <c r="E129" s="979">
        <f t="shared" si="7"/>
        <v>12800</v>
      </c>
      <c r="F129" s="980">
        <f>12300+500</f>
        <v>12800</v>
      </c>
      <c r="G129" s="390"/>
      <c r="H129" s="313" t="s">
        <v>160</v>
      </c>
    </row>
    <row r="130" spans="1:7" ht="15" customHeight="1">
      <c r="A130" s="855" t="s">
        <v>6</v>
      </c>
      <c r="B130" s="785" t="s">
        <v>7</v>
      </c>
      <c r="C130" s="406" t="s">
        <v>18</v>
      </c>
      <c r="D130" s="407" t="s">
        <v>8</v>
      </c>
      <c r="E130" s="894" t="s">
        <v>165</v>
      </c>
      <c r="F130" s="895" t="s">
        <v>19</v>
      </c>
      <c r="G130" s="896"/>
    </row>
    <row r="131" spans="1:7" ht="12.75" customHeight="1">
      <c r="A131" s="856"/>
      <c r="B131" s="831"/>
      <c r="C131" s="408" t="s">
        <v>0</v>
      </c>
      <c r="D131" s="409" t="s">
        <v>14</v>
      </c>
      <c r="E131" s="897"/>
      <c r="F131" s="869" t="s">
        <v>13</v>
      </c>
      <c r="G131" s="870" t="str">
        <f>G5</f>
        <v>środki zewnętrzne (zł)</v>
      </c>
    </row>
    <row r="132" spans="1:7" ht="18" customHeight="1" thickBot="1">
      <c r="A132" s="857"/>
      <c r="B132" s="832"/>
      <c r="C132" s="410"/>
      <c r="D132" s="411" t="s">
        <v>15</v>
      </c>
      <c r="E132" s="900"/>
      <c r="F132" s="981"/>
      <c r="G132" s="982"/>
    </row>
    <row r="133" spans="1:17" ht="28.5" customHeight="1" thickBot="1">
      <c r="A133" s="652" t="s">
        <v>21</v>
      </c>
      <c r="B133" s="426"/>
      <c r="C133" s="427">
        <v>23200</v>
      </c>
      <c r="D133" s="517">
        <v>23200</v>
      </c>
      <c r="E133" s="550">
        <f aca="true" t="shared" si="8" ref="E133:E150">SUM(F133:G133)</f>
        <v>69520.85</v>
      </c>
      <c r="F133" s="551">
        <f>SUM(F134:F144)</f>
        <v>69520.85</v>
      </c>
      <c r="G133" s="983">
        <f>SUM(G134:G143)</f>
        <v>0</v>
      </c>
      <c r="K133" s="307"/>
      <c r="L133" s="307"/>
      <c r="M133" s="308"/>
      <c r="N133" s="308"/>
      <c r="O133" s="309"/>
      <c r="P133" s="310"/>
      <c r="Q133" s="310"/>
    </row>
    <row r="134" spans="1:7" ht="25.5">
      <c r="A134" s="639" t="s">
        <v>22</v>
      </c>
      <c r="B134" s="553" t="s">
        <v>142</v>
      </c>
      <c r="C134" s="554">
        <v>1500</v>
      </c>
      <c r="D134" s="555">
        <v>1500</v>
      </c>
      <c r="E134" s="984">
        <f t="shared" si="8"/>
        <v>0</v>
      </c>
      <c r="F134" s="941">
        <f>75000-20000-55000</f>
        <v>0</v>
      </c>
      <c r="G134" s="884">
        <v>0</v>
      </c>
    </row>
    <row r="135" spans="1:8" ht="17.25" customHeight="1" thickBot="1">
      <c r="A135" s="658"/>
      <c r="B135" s="557" t="s">
        <v>155</v>
      </c>
      <c r="C135" s="558"/>
      <c r="D135" s="559"/>
      <c r="E135" s="984">
        <f t="shared" si="8"/>
        <v>35000</v>
      </c>
      <c r="F135" s="941">
        <v>35000</v>
      </c>
      <c r="G135" s="884">
        <v>0</v>
      </c>
      <c r="H135" s="313" t="s">
        <v>133</v>
      </c>
    </row>
    <row r="136" spans="1:7" ht="15.75" hidden="1" thickBot="1">
      <c r="A136" s="659"/>
      <c r="B136" s="416" t="s">
        <v>88</v>
      </c>
      <c r="C136" s="560"/>
      <c r="D136" s="561"/>
      <c r="E136" s="985">
        <f t="shared" si="8"/>
        <v>0</v>
      </c>
      <c r="F136" s="908">
        <v>0</v>
      </c>
      <c r="G136" s="877">
        <v>0</v>
      </c>
    </row>
    <row r="137" spans="1:8" ht="17.25" customHeight="1" thickBot="1">
      <c r="A137" s="659"/>
      <c r="B137" s="563" t="s">
        <v>158</v>
      </c>
      <c r="C137" s="560">
        <v>1500</v>
      </c>
      <c r="D137" s="561">
        <v>1500</v>
      </c>
      <c r="E137" s="984">
        <f t="shared" si="8"/>
        <v>7500</v>
      </c>
      <c r="F137" s="974">
        <v>7500</v>
      </c>
      <c r="G137" s="877">
        <v>0</v>
      </c>
      <c r="H137" s="313" t="s">
        <v>159</v>
      </c>
    </row>
    <row r="138" spans="1:7" ht="22.5" customHeight="1" hidden="1">
      <c r="A138" s="659"/>
      <c r="B138" s="564" t="s">
        <v>97</v>
      </c>
      <c r="C138" s="560"/>
      <c r="D138" s="561"/>
      <c r="E138" s="984">
        <f t="shared" si="8"/>
        <v>0</v>
      </c>
      <c r="F138" s="974">
        <v>0</v>
      </c>
      <c r="G138" s="877">
        <v>0</v>
      </c>
    </row>
    <row r="139" spans="1:7" ht="17.25" customHeight="1" hidden="1">
      <c r="A139" s="659"/>
      <c r="B139" s="564" t="s">
        <v>93</v>
      </c>
      <c r="C139" s="560"/>
      <c r="D139" s="561"/>
      <c r="E139" s="984">
        <f t="shared" si="8"/>
        <v>0</v>
      </c>
      <c r="F139" s="974">
        <v>0</v>
      </c>
      <c r="G139" s="877">
        <v>0</v>
      </c>
    </row>
    <row r="140" spans="1:7" ht="17.25" customHeight="1" hidden="1">
      <c r="A140" s="659"/>
      <c r="B140" s="565" t="s">
        <v>86</v>
      </c>
      <c r="C140" s="560"/>
      <c r="D140" s="561"/>
      <c r="E140" s="985">
        <f t="shared" si="8"/>
        <v>0</v>
      </c>
      <c r="F140" s="908">
        <v>0</v>
      </c>
      <c r="G140" s="877">
        <v>0</v>
      </c>
    </row>
    <row r="141" spans="1:7" ht="15.75" customHeight="1" hidden="1" thickBot="1">
      <c r="A141" s="659"/>
      <c r="B141" s="416" t="s">
        <v>113</v>
      </c>
      <c r="C141" s="560"/>
      <c r="D141" s="561"/>
      <c r="E141" s="985">
        <f t="shared" si="8"/>
        <v>0</v>
      </c>
      <c r="F141" s="908">
        <v>0</v>
      </c>
      <c r="G141" s="877">
        <v>0</v>
      </c>
    </row>
    <row r="142" spans="1:9" s="684" customFormat="1" ht="18.75" customHeight="1">
      <c r="A142" s="682"/>
      <c r="B142" s="315" t="s">
        <v>207</v>
      </c>
      <c r="C142" s="316"/>
      <c r="D142" s="317"/>
      <c r="E142" s="873">
        <f t="shared" si="8"/>
        <v>11000</v>
      </c>
      <c r="F142" s="880">
        <f>0+11000</f>
        <v>11000</v>
      </c>
      <c r="G142" s="881">
        <v>0</v>
      </c>
      <c r="H142" s="693" t="s">
        <v>208</v>
      </c>
      <c r="I142" s="683"/>
    </row>
    <row r="143" spans="1:10" ht="15.75" thickBot="1">
      <c r="A143" s="579"/>
      <c r="B143" s="528" t="s">
        <v>200</v>
      </c>
      <c r="C143" s="566"/>
      <c r="D143" s="567"/>
      <c r="E143" s="660">
        <f t="shared" si="8"/>
        <v>11020.85</v>
      </c>
      <c r="F143" s="661">
        <f>0+11020.85</f>
        <v>11020.85</v>
      </c>
      <c r="G143" s="390">
        <v>0</v>
      </c>
      <c r="H143" s="335"/>
      <c r="J143" s="306"/>
    </row>
    <row r="144" spans="1:10" ht="30" customHeight="1" thickBot="1">
      <c r="A144" s="662" t="s">
        <v>59</v>
      </c>
      <c r="B144" s="570" t="s">
        <v>156</v>
      </c>
      <c r="C144" s="571">
        <v>1500</v>
      </c>
      <c r="D144" s="572">
        <v>1500</v>
      </c>
      <c r="E144" s="986">
        <f t="shared" si="8"/>
        <v>5000</v>
      </c>
      <c r="F144" s="925">
        <v>5000</v>
      </c>
      <c r="G144" s="950">
        <v>0</v>
      </c>
      <c r="H144" s="335" t="s">
        <v>157</v>
      </c>
      <c r="J144" s="306"/>
    </row>
    <row r="145" spans="1:7" ht="18" customHeight="1" thickBot="1">
      <c r="A145" s="663" t="s">
        <v>23</v>
      </c>
      <c r="B145" s="426"/>
      <c r="C145" s="427">
        <v>23200</v>
      </c>
      <c r="D145" s="517">
        <v>23200</v>
      </c>
      <c r="E145" s="934">
        <f t="shared" si="8"/>
        <v>218151.14</v>
      </c>
      <c r="F145" s="987">
        <f>SUM(F146:F160)</f>
        <v>188151.14</v>
      </c>
      <c r="G145" s="983">
        <f>SUM(G146:G160)</f>
        <v>30000</v>
      </c>
    </row>
    <row r="146" spans="1:10" ht="15.75" thickBot="1">
      <c r="A146" s="664" t="s">
        <v>24</v>
      </c>
      <c r="B146" s="574" t="s">
        <v>147</v>
      </c>
      <c r="C146" s="558">
        <v>1500</v>
      </c>
      <c r="D146" s="559">
        <v>1500</v>
      </c>
      <c r="E146" s="974">
        <f t="shared" si="8"/>
        <v>33500</v>
      </c>
      <c r="F146" s="941">
        <v>33500</v>
      </c>
      <c r="G146" s="884">
        <v>0</v>
      </c>
      <c r="H146" s="313" t="s">
        <v>148</v>
      </c>
      <c r="J146" s="302"/>
    </row>
    <row r="147" spans="1:10" s="666" customFormat="1" ht="15.75" thickBot="1">
      <c r="A147" s="658"/>
      <c r="B147" s="575" t="s">
        <v>103</v>
      </c>
      <c r="C147" s="560"/>
      <c r="D147" s="561"/>
      <c r="E147" s="974">
        <f t="shared" si="8"/>
        <v>31000</v>
      </c>
      <c r="F147" s="908">
        <f>14000+17000-15000+13600+1400</f>
        <v>31000</v>
      </c>
      <c r="G147" s="877">
        <v>0</v>
      </c>
      <c r="H147" s="366" t="s">
        <v>151</v>
      </c>
      <c r="I147" s="366"/>
      <c r="J147" s="686"/>
    </row>
    <row r="148" spans="1:10" s="666" customFormat="1" ht="15.75" thickBot="1">
      <c r="A148" s="659"/>
      <c r="B148" s="395" t="s">
        <v>67</v>
      </c>
      <c r="C148" s="560"/>
      <c r="D148" s="561"/>
      <c r="E148" s="974">
        <f t="shared" si="8"/>
        <v>15000</v>
      </c>
      <c r="F148" s="908">
        <f>15000-5000+5000</f>
        <v>15000</v>
      </c>
      <c r="G148" s="877">
        <v>0</v>
      </c>
      <c r="H148" s="687" t="s">
        <v>143</v>
      </c>
      <c r="I148" s="366"/>
      <c r="J148" s="686"/>
    </row>
    <row r="149" spans="1:10" ht="15.75" thickBot="1">
      <c r="A149" s="659"/>
      <c r="B149" s="413" t="s">
        <v>146</v>
      </c>
      <c r="C149" s="560"/>
      <c r="D149" s="561"/>
      <c r="E149" s="974">
        <f t="shared" si="8"/>
        <v>5000</v>
      </c>
      <c r="F149" s="908">
        <v>5000</v>
      </c>
      <c r="G149" s="877">
        <v>0</v>
      </c>
      <c r="H149" s="356" t="s">
        <v>157</v>
      </c>
      <c r="J149" s="302"/>
    </row>
    <row r="150" spans="1:10" s="666" customFormat="1" ht="30.75" thickBot="1">
      <c r="A150" s="659"/>
      <c r="B150" s="413" t="s">
        <v>95</v>
      </c>
      <c r="C150" s="560"/>
      <c r="D150" s="561"/>
      <c r="E150" s="889">
        <f t="shared" si="8"/>
        <v>113500</v>
      </c>
      <c r="F150" s="908">
        <f>60000+20000+3500</f>
        <v>83500</v>
      </c>
      <c r="G150" s="877">
        <f>0+30000</f>
        <v>30000</v>
      </c>
      <c r="H150" s="687" t="s">
        <v>150</v>
      </c>
      <c r="I150" s="366"/>
      <c r="J150" s="686"/>
    </row>
    <row r="151" spans="1:10" s="666" customFormat="1" ht="12.75" hidden="1">
      <c r="A151" s="810" t="s">
        <v>6</v>
      </c>
      <c r="B151" s="785" t="s">
        <v>7</v>
      </c>
      <c r="C151" s="370" t="s">
        <v>18</v>
      </c>
      <c r="D151" s="371" t="s">
        <v>8</v>
      </c>
      <c r="E151" s="988" t="s">
        <v>96</v>
      </c>
      <c r="F151" s="866" t="s">
        <v>19</v>
      </c>
      <c r="G151" s="867"/>
      <c r="H151" s="687"/>
      <c r="I151" s="366"/>
      <c r="J151" s="686"/>
    </row>
    <row r="152" spans="1:10" s="666" customFormat="1" ht="12.75" hidden="1">
      <c r="A152" s="854"/>
      <c r="B152" s="786"/>
      <c r="C152" s="372" t="s">
        <v>0</v>
      </c>
      <c r="D152" s="373" t="s">
        <v>14</v>
      </c>
      <c r="E152" s="989"/>
      <c r="F152" s="869" t="s">
        <v>54</v>
      </c>
      <c r="G152" s="870" t="s">
        <v>55</v>
      </c>
      <c r="H152" s="687"/>
      <c r="I152" s="366"/>
      <c r="J152" s="686"/>
    </row>
    <row r="153" spans="1:10" s="666" customFormat="1" ht="12.75" hidden="1">
      <c r="A153" s="854"/>
      <c r="B153" s="786"/>
      <c r="C153" s="372"/>
      <c r="D153" s="373" t="s">
        <v>15</v>
      </c>
      <c r="E153" s="990"/>
      <c r="F153" s="991"/>
      <c r="G153" s="992"/>
      <c r="H153" s="687"/>
      <c r="I153" s="366"/>
      <c r="J153" s="686"/>
    </row>
    <row r="154" spans="1:10" s="666" customFormat="1" ht="17.25" customHeight="1">
      <c r="A154" s="665"/>
      <c r="B154" s="576" t="s">
        <v>58</v>
      </c>
      <c r="C154" s="538"/>
      <c r="D154" s="539"/>
      <c r="E154" s="974">
        <f aca="true" t="shared" si="9" ref="E154:E160">SUM(F154:G154)</f>
        <v>0</v>
      </c>
      <c r="F154" s="976">
        <f>12000-12000</f>
        <v>0</v>
      </c>
      <c r="G154" s="884">
        <v>0</v>
      </c>
      <c r="H154" s="687" t="s">
        <v>152</v>
      </c>
      <c r="I154" s="366"/>
      <c r="J154" s="686"/>
    </row>
    <row r="155" spans="1:10" s="666" customFormat="1" ht="15.75" thickBot="1">
      <c r="A155" s="659"/>
      <c r="B155" s="577" t="s">
        <v>206</v>
      </c>
      <c r="C155" s="560"/>
      <c r="D155" s="561"/>
      <c r="E155" s="889">
        <f t="shared" si="9"/>
        <v>1000</v>
      </c>
      <c r="F155" s="908">
        <f>0+1000</f>
        <v>1000</v>
      </c>
      <c r="G155" s="877">
        <v>0</v>
      </c>
      <c r="H155" s="688" t="s">
        <v>205</v>
      </c>
      <c r="I155" s="366"/>
      <c r="J155" s="686"/>
    </row>
    <row r="156" spans="1:10" ht="18.75" customHeight="1" thickBot="1">
      <c r="A156" s="659"/>
      <c r="B156" s="575" t="s">
        <v>153</v>
      </c>
      <c r="C156" s="560"/>
      <c r="D156" s="561"/>
      <c r="E156" s="889">
        <f t="shared" si="9"/>
        <v>5500</v>
      </c>
      <c r="F156" s="908">
        <f>5000+500</f>
        <v>5500</v>
      </c>
      <c r="G156" s="877">
        <v>0</v>
      </c>
      <c r="H156" s="356" t="s">
        <v>154</v>
      </c>
      <c r="J156" s="302"/>
    </row>
    <row r="157" spans="1:10" ht="15.75" hidden="1" thickBot="1">
      <c r="A157" s="659"/>
      <c r="B157" s="577" t="s">
        <v>94</v>
      </c>
      <c r="C157" s="560"/>
      <c r="D157" s="561"/>
      <c r="E157" s="889">
        <f t="shared" si="9"/>
        <v>0</v>
      </c>
      <c r="F157" s="908">
        <v>0</v>
      </c>
      <c r="G157" s="877">
        <v>0</v>
      </c>
      <c r="J157" s="302"/>
    </row>
    <row r="158" spans="1:10" ht="31.5" customHeight="1" hidden="1">
      <c r="A158" s="659"/>
      <c r="B158" s="577" t="s">
        <v>102</v>
      </c>
      <c r="C158" s="560"/>
      <c r="D158" s="561"/>
      <c r="E158" s="889">
        <f t="shared" si="9"/>
        <v>0</v>
      </c>
      <c r="F158" s="908">
        <v>0</v>
      </c>
      <c r="G158" s="877">
        <v>0</v>
      </c>
      <c r="J158" s="302"/>
    </row>
    <row r="159" spans="1:10" ht="18" customHeight="1" thickBot="1">
      <c r="A159" s="579"/>
      <c r="B159" s="694" t="s">
        <v>73</v>
      </c>
      <c r="C159" s="358"/>
      <c r="D159" s="359"/>
      <c r="E159" s="993">
        <f t="shared" si="9"/>
        <v>13651.14</v>
      </c>
      <c r="F159" s="994">
        <f>6000+1600+450+5601.14</f>
        <v>13651.14</v>
      </c>
      <c r="G159" s="995">
        <v>0</v>
      </c>
      <c r="H159" s="192" t="s">
        <v>219</v>
      </c>
      <c r="J159" s="302"/>
    </row>
    <row r="160" spans="1:9" s="302" customFormat="1" ht="13.5" hidden="1" thickBot="1">
      <c r="A160" s="579"/>
      <c r="B160" s="579" t="s">
        <v>28</v>
      </c>
      <c r="C160" s="580">
        <v>1500</v>
      </c>
      <c r="D160" s="581">
        <v>1500</v>
      </c>
      <c r="E160" s="996">
        <f t="shared" si="9"/>
        <v>0</v>
      </c>
      <c r="F160" s="997">
        <v>0</v>
      </c>
      <c r="G160" s="998">
        <v>0</v>
      </c>
      <c r="H160" s="312"/>
      <c r="I160" s="312"/>
    </row>
    <row r="161" spans="1:9" s="302" customFormat="1" ht="5.25" customHeight="1">
      <c r="A161" s="451"/>
      <c r="B161" s="451"/>
      <c r="C161" s="365"/>
      <c r="D161" s="366"/>
      <c r="E161" s="587"/>
      <c r="F161" s="587"/>
      <c r="G161" s="587"/>
      <c r="H161" s="312"/>
      <c r="I161" s="312"/>
    </row>
    <row r="162" spans="1:9" s="302" customFormat="1" ht="16.5" thickBot="1">
      <c r="A162" s="853" t="s">
        <v>17</v>
      </c>
      <c r="B162" s="853"/>
      <c r="C162" s="585"/>
      <c r="D162" s="508"/>
      <c r="E162" s="363">
        <f>SUM(E113+E98+E91+E82+E50+E7+E133+E145+E88+E104+E111+E79)</f>
        <v>5606141.99</v>
      </c>
      <c r="F162" s="363">
        <f>SUM(F113+F98+F91+F82+F50+F7+F133+F145+F88+F104+F111+F79)</f>
        <v>5576141.99</v>
      </c>
      <c r="G162" s="363">
        <f>SUM(G113+G98+G91+G82+G50+G7+G133+G145+G88+G104)</f>
        <v>30000</v>
      </c>
      <c r="H162" s="312"/>
      <c r="I162" s="312"/>
    </row>
    <row r="163" spans="1:4" ht="13.5" thickTop="1">
      <c r="A163" s="666"/>
      <c r="B163" s="666"/>
      <c r="D163" s="366" t="s">
        <v>16</v>
      </c>
    </row>
    <row r="164" spans="1:6" ht="15">
      <c r="A164" s="666"/>
      <c r="B164" s="666"/>
      <c r="C164" s="586"/>
      <c r="F164" s="587" t="s">
        <v>188</v>
      </c>
    </row>
    <row r="165" spans="1:7" ht="12.75">
      <c r="A165" s="666"/>
      <c r="B165" s="666"/>
      <c r="F165" s="587" t="s">
        <v>189</v>
      </c>
      <c r="G165" s="587">
        <f>G78</f>
        <v>0</v>
      </c>
    </row>
    <row r="166" spans="1:7" ht="12.75">
      <c r="A166" s="303"/>
      <c r="B166" s="666"/>
      <c r="F166" s="587" t="s">
        <v>187</v>
      </c>
      <c r="G166" s="587">
        <f>G150</f>
        <v>30000</v>
      </c>
    </row>
    <row r="168" spans="1:10" ht="12.75">
      <c r="A168" s="303"/>
      <c r="B168" s="666"/>
      <c r="J168" s="303" t="s">
        <v>39</v>
      </c>
    </row>
    <row r="169" spans="1:10" ht="12.75">
      <c r="A169" s="303"/>
      <c r="B169" s="666"/>
      <c r="G169" s="587">
        <f>SUM(F162:G162)</f>
        <v>5606141.99</v>
      </c>
      <c r="J169" s="302">
        <f>SUM(G169)-E162</f>
        <v>0</v>
      </c>
    </row>
  </sheetData>
  <sheetProtection/>
  <mergeCells count="51">
    <mergeCell ref="E1:G1"/>
    <mergeCell ref="E2:G2"/>
    <mergeCell ref="A4:A6"/>
    <mergeCell ref="B4:B6"/>
    <mergeCell ref="E4:E6"/>
    <mergeCell ref="F4:G4"/>
    <mergeCell ref="F5:F6"/>
    <mergeCell ref="G5:G6"/>
    <mergeCell ref="B10:B13"/>
    <mergeCell ref="E10:E13"/>
    <mergeCell ref="F10:F13"/>
    <mergeCell ref="B19:B20"/>
    <mergeCell ref="E19:E20"/>
    <mergeCell ref="F19:F20"/>
    <mergeCell ref="A35:A37"/>
    <mergeCell ref="B35:B37"/>
    <mergeCell ref="E35:E37"/>
    <mergeCell ref="F35:G35"/>
    <mergeCell ref="F36:F37"/>
    <mergeCell ref="G36:G37"/>
    <mergeCell ref="A68:A70"/>
    <mergeCell ref="B68:B70"/>
    <mergeCell ref="E68:E70"/>
    <mergeCell ref="F68:G68"/>
    <mergeCell ref="F69:F70"/>
    <mergeCell ref="G69:G70"/>
    <mergeCell ref="A94:A96"/>
    <mergeCell ref="B94:B96"/>
    <mergeCell ref="E94:E96"/>
    <mergeCell ref="F94:G94"/>
    <mergeCell ref="F95:F96"/>
    <mergeCell ref="G95:G96"/>
    <mergeCell ref="A116:A118"/>
    <mergeCell ref="B116:B118"/>
    <mergeCell ref="E116:E118"/>
    <mergeCell ref="F116:G116"/>
    <mergeCell ref="F117:F118"/>
    <mergeCell ref="G117:G118"/>
    <mergeCell ref="A130:A132"/>
    <mergeCell ref="B130:B132"/>
    <mergeCell ref="E130:E132"/>
    <mergeCell ref="F130:G130"/>
    <mergeCell ref="F131:F132"/>
    <mergeCell ref="G131:G132"/>
    <mergeCell ref="A162:B162"/>
    <mergeCell ref="A151:A153"/>
    <mergeCell ref="B151:B153"/>
    <mergeCell ref="E151:E153"/>
    <mergeCell ref="F151:G151"/>
    <mergeCell ref="F152:F153"/>
    <mergeCell ref="G152:G153"/>
  </mergeCells>
  <conditionalFormatting sqref="I18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{6edf04ce-a026-4116-b276-65526ab5e969}</x14:id>
        </ext>
      </extLst>
    </cfRule>
  </conditionalFormatting>
  <conditionalFormatting sqref="A7:A4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{c927fe7d-783a-4dcd-a822-4f73011786db}</x14:id>
        </ext>
      </extLst>
    </cfRule>
  </conditionalFormatting>
  <conditionalFormatting sqref="A14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{44b3ed15-43ee-48c4-94db-ead053a6d012}</x14:id>
        </ext>
      </extLst>
    </cfRule>
  </conditionalFormatting>
  <printOptions/>
  <pageMargins left="0.1968503937007874" right="0.2755905511811024" top="0.31496062992125984" bottom="0.2755905511811024" header="0.15748031496062992" footer="0.15748031496062992"/>
  <pageSetup horizontalDpi="600" verticalDpi="600" orientation="landscape" paperSize="9" scale="75" r:id="rId1"/>
  <rowBreaks count="2" manualBreakCount="2">
    <brk id="81" max="6" man="1"/>
    <brk id="144" max="6" man="1"/>
  </rowBreaks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df04ce-a026-4116-b276-65526ab5e9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I18</xm:sqref>
        </x14:conditionalFormatting>
        <x14:conditionalFormatting xmlns:xm="http://schemas.microsoft.com/office/excel/2006/main">
          <x14:cfRule type="dataBar" id="{c927fe7d-783a-4dcd-a822-4f73011786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A7:A45</xm:sqref>
        </x14:conditionalFormatting>
        <x14:conditionalFormatting xmlns:xm="http://schemas.microsoft.com/office/excel/2006/main">
          <x14:cfRule type="dataBar" id="{44b3ed15-43ee-48c4-94db-ead053a6d0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00390625" style="311" customWidth="1"/>
    <col min="2" max="2" width="104.00390625" style="311" customWidth="1"/>
    <col min="3" max="3" width="9.25390625" style="312" hidden="1" customWidth="1"/>
    <col min="4" max="4" width="1.25" style="313" hidden="1" customWidth="1"/>
    <col min="5" max="5" width="14.375" style="313" customWidth="1"/>
    <col min="6" max="6" width="14.625" style="312" customWidth="1"/>
    <col min="7" max="7" width="13.00390625" style="312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190" t="s">
        <v>25</v>
      </c>
      <c r="G1" s="193" t="s">
        <v>192</v>
      </c>
    </row>
    <row r="2" spans="1:7" ht="18">
      <c r="A2" s="284"/>
      <c r="B2" s="190" t="s">
        <v>167</v>
      </c>
      <c r="E2" s="762" t="s">
        <v>193</v>
      </c>
      <c r="F2" s="773"/>
      <c r="G2" s="773"/>
    </row>
    <row r="3" spans="2:7" ht="3.75" customHeight="1" thickBot="1">
      <c r="B3" s="195"/>
      <c r="G3" s="196"/>
    </row>
    <row r="4" spans="1:9" s="305" customFormat="1" ht="12.75">
      <c r="A4" s="707" t="s">
        <v>6</v>
      </c>
      <c r="B4" s="709" t="s">
        <v>7</v>
      </c>
      <c r="C4" s="197" t="s">
        <v>18</v>
      </c>
      <c r="D4" s="198" t="s">
        <v>8</v>
      </c>
      <c r="E4" s="758" t="s">
        <v>166</v>
      </c>
      <c r="F4" s="714" t="s">
        <v>19</v>
      </c>
      <c r="G4" s="715"/>
      <c r="H4" s="207"/>
      <c r="I4" s="200"/>
    </row>
    <row r="5" spans="1:9" s="305" customFormat="1" ht="10.5" customHeight="1">
      <c r="A5" s="708"/>
      <c r="B5" s="710"/>
      <c r="C5" s="201" t="s">
        <v>0</v>
      </c>
      <c r="D5" s="202" t="s">
        <v>14</v>
      </c>
      <c r="E5" s="759"/>
      <c r="F5" s="716" t="s">
        <v>54</v>
      </c>
      <c r="G5" s="718" t="s">
        <v>186</v>
      </c>
      <c r="H5" s="207"/>
      <c r="I5" s="200"/>
    </row>
    <row r="6" spans="1:9" s="305" customFormat="1" ht="9.75" customHeight="1" thickBot="1">
      <c r="A6" s="708"/>
      <c r="B6" s="710"/>
      <c r="C6" s="201"/>
      <c r="D6" s="202" t="s">
        <v>15</v>
      </c>
      <c r="E6" s="759"/>
      <c r="F6" s="760"/>
      <c r="G6" s="761"/>
      <c r="H6" s="207"/>
      <c r="I6" s="200"/>
    </row>
    <row r="7" spans="1:9" s="304" customFormat="1" ht="15.75" customHeight="1" thickBot="1">
      <c r="A7" s="186" t="s">
        <v>10</v>
      </c>
      <c r="B7" s="203"/>
      <c r="C7" s="204">
        <v>900100</v>
      </c>
      <c r="D7" s="205">
        <v>160900</v>
      </c>
      <c r="E7" s="206">
        <f>SUM(E8:E48)</f>
        <v>602610</v>
      </c>
      <c r="F7" s="206">
        <f>SUM(F8:F48)</f>
        <v>602610</v>
      </c>
      <c r="G7" s="206">
        <f>SUM(G8:G47)</f>
        <v>0</v>
      </c>
      <c r="H7" s="207"/>
      <c r="I7" s="207"/>
    </row>
    <row r="8" spans="1:9" s="305" customFormat="1" ht="23.25" customHeight="1">
      <c r="A8" s="208" t="s">
        <v>42</v>
      </c>
      <c r="B8" s="314" t="s">
        <v>163</v>
      </c>
      <c r="C8" s="5">
        <v>1240000</v>
      </c>
      <c r="D8" s="6">
        <v>110000</v>
      </c>
      <c r="E8" s="7">
        <f>SUM(F8:G8)</f>
        <v>24100</v>
      </c>
      <c r="F8" s="8">
        <f>22800+1300</f>
        <v>24100</v>
      </c>
      <c r="G8" s="8">
        <v>0</v>
      </c>
      <c r="H8" s="207"/>
      <c r="I8" s="200"/>
    </row>
    <row r="9" spans="1:9" s="305" customFormat="1" ht="18.75" customHeight="1">
      <c r="A9" s="209"/>
      <c r="B9" s="9" t="s">
        <v>164</v>
      </c>
      <c r="C9" s="5"/>
      <c r="D9" s="10"/>
      <c r="E9" s="7">
        <f>SUM(F9:G9)</f>
        <v>3500</v>
      </c>
      <c r="F9" s="5">
        <f>3100+400</f>
        <v>3500</v>
      </c>
      <c r="G9" s="8">
        <v>0</v>
      </c>
      <c r="H9" s="207"/>
      <c r="I9" s="200"/>
    </row>
    <row r="10" spans="1:9" s="305" customFormat="1" ht="13.5" customHeight="1" hidden="1">
      <c r="A10" s="209"/>
      <c r="B10" s="774" t="s">
        <v>46</v>
      </c>
      <c r="C10" s="11"/>
      <c r="D10" s="12"/>
      <c r="E10" s="743">
        <f>SUM(G10+G12+F10)</f>
        <v>0</v>
      </c>
      <c r="F10" s="763">
        <v>0</v>
      </c>
      <c r="G10" s="13">
        <v>0</v>
      </c>
      <c r="H10" s="207"/>
      <c r="I10" s="200"/>
    </row>
    <row r="11" spans="1:9" s="305" customFormat="1" ht="14.25" customHeight="1" hidden="1">
      <c r="A11" s="210"/>
      <c r="B11" s="775"/>
      <c r="C11" s="14"/>
      <c r="D11" s="14"/>
      <c r="E11" s="744"/>
      <c r="F11" s="764"/>
      <c r="G11" s="15" t="s">
        <v>53</v>
      </c>
      <c r="H11" s="207"/>
      <c r="I11" s="200"/>
    </row>
    <row r="12" spans="1:9" s="305" customFormat="1" ht="11.25" customHeight="1" hidden="1">
      <c r="A12" s="210"/>
      <c r="B12" s="775"/>
      <c r="C12" s="14"/>
      <c r="D12" s="14"/>
      <c r="E12" s="744"/>
      <c r="F12" s="764"/>
      <c r="G12" s="16">
        <v>0</v>
      </c>
      <c r="H12" s="207"/>
      <c r="I12" s="200"/>
    </row>
    <row r="13" spans="1:9" s="305" customFormat="1" ht="24.75" customHeight="1" hidden="1">
      <c r="A13" s="210"/>
      <c r="B13" s="776"/>
      <c r="C13" s="17"/>
      <c r="D13" s="17"/>
      <c r="E13" s="745"/>
      <c r="F13" s="765"/>
      <c r="G13" s="18" t="s">
        <v>56</v>
      </c>
      <c r="H13" s="207"/>
      <c r="I13" s="200"/>
    </row>
    <row r="14" spans="1:9" s="305" customFormat="1" ht="18.75" customHeight="1">
      <c r="A14" s="209" t="s">
        <v>190</v>
      </c>
      <c r="B14" s="315" t="s">
        <v>191</v>
      </c>
      <c r="C14" s="316"/>
      <c r="D14" s="317"/>
      <c r="E14" s="318">
        <f>SUM(F14:G14)</f>
        <v>20000</v>
      </c>
      <c r="F14" s="316">
        <f>0+20000</f>
        <v>20000</v>
      </c>
      <c r="G14" s="319">
        <v>0</v>
      </c>
      <c r="H14" s="207"/>
      <c r="I14" s="200"/>
    </row>
    <row r="15" spans="1:9" s="305" customFormat="1" ht="20.25" customHeight="1">
      <c r="A15" s="320"/>
      <c r="B15" s="9" t="s">
        <v>126</v>
      </c>
      <c r="C15" s="5"/>
      <c r="D15" s="10"/>
      <c r="E15" s="7">
        <f>SUM(F15:G15)</f>
        <v>65000</v>
      </c>
      <c r="F15" s="8">
        <v>65000</v>
      </c>
      <c r="G15" s="19">
        <v>0</v>
      </c>
      <c r="H15" s="207"/>
      <c r="I15" s="200"/>
    </row>
    <row r="16" spans="1:9" s="305" customFormat="1" ht="20.25" customHeight="1">
      <c r="A16" s="320"/>
      <c r="B16" s="315" t="s">
        <v>127</v>
      </c>
      <c r="C16" s="316"/>
      <c r="D16" s="321"/>
      <c r="E16" s="318">
        <f>SUM(F16:G16)</f>
        <v>326600</v>
      </c>
      <c r="F16" s="319">
        <f>100000-1700-1700+300000-20000-40000-10000</f>
        <v>326600</v>
      </c>
      <c r="G16" s="319">
        <f>300000-300000</f>
        <v>0</v>
      </c>
      <c r="H16" s="207"/>
      <c r="I16" s="200"/>
    </row>
    <row r="17" spans="1:9" s="305" customFormat="1" ht="16.5" customHeight="1" hidden="1">
      <c r="A17" s="320"/>
      <c r="B17" s="314" t="s">
        <v>79</v>
      </c>
      <c r="C17" s="5"/>
      <c r="D17" s="10"/>
      <c r="E17" s="7">
        <f>SUM(F17:G17)</f>
        <v>0</v>
      </c>
      <c r="F17" s="8">
        <v>0</v>
      </c>
      <c r="G17" s="8">
        <v>0</v>
      </c>
      <c r="H17" s="207"/>
      <c r="I17" s="200"/>
    </row>
    <row r="18" spans="1:9" s="305" customFormat="1" ht="11.25" customHeight="1" hidden="1">
      <c r="A18" s="320"/>
      <c r="B18" s="736" t="s">
        <v>80</v>
      </c>
      <c r="C18" s="5"/>
      <c r="D18" s="10"/>
      <c r="E18" s="738">
        <f>SUM(F18:G18)</f>
        <v>0</v>
      </c>
      <c r="F18" s="766">
        <v>0</v>
      </c>
      <c r="G18" s="13">
        <v>0</v>
      </c>
      <c r="H18" s="207"/>
      <c r="I18" s="200"/>
    </row>
    <row r="19" spans="1:9" s="305" customFormat="1" ht="10.5" customHeight="1" hidden="1">
      <c r="A19" s="320"/>
      <c r="B19" s="737"/>
      <c r="C19" s="5"/>
      <c r="D19" s="10"/>
      <c r="E19" s="739"/>
      <c r="F19" s="767"/>
      <c r="G19" s="18"/>
      <c r="H19" s="207"/>
      <c r="I19" s="200"/>
    </row>
    <row r="20" spans="1:9" s="305" customFormat="1" ht="16.5" customHeight="1" hidden="1">
      <c r="A20" s="320"/>
      <c r="B20" s="322" t="s">
        <v>74</v>
      </c>
      <c r="C20" s="5"/>
      <c r="D20" s="10"/>
      <c r="E20" s="7">
        <f>SUM(F20:G20)</f>
        <v>0</v>
      </c>
      <c r="F20" s="8">
        <v>0</v>
      </c>
      <c r="G20" s="19">
        <v>0</v>
      </c>
      <c r="H20" s="207"/>
      <c r="I20" s="200"/>
    </row>
    <row r="21" spans="1:9" s="305" customFormat="1" ht="14.25" customHeight="1" hidden="1">
      <c r="A21" s="323"/>
      <c r="B21" s="21" t="s">
        <v>75</v>
      </c>
      <c r="C21" s="5"/>
      <c r="D21" s="10"/>
      <c r="E21" s="7">
        <f aca="true" t="shared" si="0" ref="E21:E26">SUM(F21:G21)</f>
        <v>0</v>
      </c>
      <c r="F21" s="8">
        <v>0</v>
      </c>
      <c r="G21" s="8">
        <v>0</v>
      </c>
      <c r="H21" s="207"/>
      <c r="I21" s="200"/>
    </row>
    <row r="22" spans="1:9" s="305" customFormat="1" ht="16.5" customHeight="1" hidden="1">
      <c r="A22" s="323"/>
      <c r="B22" s="253" t="s">
        <v>81</v>
      </c>
      <c r="C22" s="5">
        <v>30000</v>
      </c>
      <c r="D22" s="6">
        <v>30000</v>
      </c>
      <c r="E22" s="7">
        <f t="shared" si="0"/>
        <v>0</v>
      </c>
      <c r="F22" s="8">
        <v>0</v>
      </c>
      <c r="G22" s="8">
        <v>0</v>
      </c>
      <c r="H22" s="207"/>
      <c r="I22" s="200"/>
    </row>
    <row r="23" spans="1:9" s="305" customFormat="1" ht="19.5" customHeight="1" hidden="1">
      <c r="A23" s="323"/>
      <c r="B23" s="324" t="s">
        <v>104</v>
      </c>
      <c r="C23" s="5">
        <v>83000</v>
      </c>
      <c r="D23" s="6">
        <v>83000</v>
      </c>
      <c r="E23" s="7">
        <f t="shared" si="0"/>
        <v>0</v>
      </c>
      <c r="F23" s="8">
        <v>0</v>
      </c>
      <c r="G23" s="8">
        <v>0</v>
      </c>
      <c r="H23" s="207"/>
      <c r="I23" s="200"/>
    </row>
    <row r="24" spans="1:9" s="305" customFormat="1" ht="16.5" customHeight="1" hidden="1">
      <c r="A24" s="323"/>
      <c r="B24" s="324" t="s">
        <v>76</v>
      </c>
      <c r="C24" s="5"/>
      <c r="D24" s="6"/>
      <c r="E24" s="7">
        <f t="shared" si="0"/>
        <v>0</v>
      </c>
      <c r="F24" s="5">
        <v>0</v>
      </c>
      <c r="G24" s="8">
        <v>0</v>
      </c>
      <c r="H24" s="207"/>
      <c r="I24" s="200"/>
    </row>
    <row r="25" spans="1:9" s="305" customFormat="1" ht="16.5" customHeight="1" hidden="1">
      <c r="A25" s="323"/>
      <c r="B25" s="254" t="s">
        <v>77</v>
      </c>
      <c r="C25" s="23"/>
      <c r="D25" s="24"/>
      <c r="E25" s="7">
        <f t="shared" si="0"/>
        <v>0</v>
      </c>
      <c r="F25" s="23">
        <v>0</v>
      </c>
      <c r="G25" s="13">
        <v>0</v>
      </c>
      <c r="H25" s="207"/>
      <c r="I25" s="200"/>
    </row>
    <row r="26" spans="1:9" s="305" customFormat="1" ht="15" hidden="1">
      <c r="A26" s="323"/>
      <c r="B26" s="324" t="s">
        <v>82</v>
      </c>
      <c r="C26" s="5"/>
      <c r="D26" s="6"/>
      <c r="E26" s="7">
        <f t="shared" si="0"/>
        <v>0</v>
      </c>
      <c r="F26" s="5">
        <v>0</v>
      </c>
      <c r="G26" s="8">
        <v>0</v>
      </c>
      <c r="H26" s="207"/>
      <c r="I26" s="200"/>
    </row>
    <row r="27" spans="1:9" s="305" customFormat="1" ht="27.75" customHeight="1" hidden="1">
      <c r="A27" s="323"/>
      <c r="B27" s="324" t="s">
        <v>50</v>
      </c>
      <c r="C27" s="25">
        <v>1000</v>
      </c>
      <c r="D27" s="26">
        <v>1000</v>
      </c>
      <c r="E27" s="27">
        <f>SUM(F27:G27)</f>
        <v>0</v>
      </c>
      <c r="F27" s="25">
        <v>0</v>
      </c>
      <c r="G27" s="19"/>
      <c r="H27" s="207"/>
      <c r="I27" s="200"/>
    </row>
    <row r="28" spans="1:9" s="305" customFormat="1" ht="16.5" customHeight="1" hidden="1">
      <c r="A28" s="323"/>
      <c r="B28" s="324" t="s">
        <v>78</v>
      </c>
      <c r="C28" s="5"/>
      <c r="D28" s="6"/>
      <c r="E28" s="7">
        <f>SUM(F28:G28)</f>
        <v>0</v>
      </c>
      <c r="F28" s="5">
        <v>0</v>
      </c>
      <c r="G28" s="8">
        <v>0</v>
      </c>
      <c r="H28" s="207"/>
      <c r="I28" s="200"/>
    </row>
    <row r="29" spans="1:7" ht="15.75" customHeight="1" hidden="1">
      <c r="A29" s="323"/>
      <c r="B29" s="28" t="s">
        <v>45</v>
      </c>
      <c r="C29" s="23"/>
      <c r="D29" s="24"/>
      <c r="E29" s="29">
        <f>SUM(F29:G29)</f>
        <v>0</v>
      </c>
      <c r="F29" s="23">
        <v>0</v>
      </c>
      <c r="G29" s="13">
        <v>0</v>
      </c>
    </row>
    <row r="30" spans="1:7" ht="20.25" customHeight="1">
      <c r="A30" s="323"/>
      <c r="B30" s="30" t="s">
        <v>57</v>
      </c>
      <c r="C30" s="31"/>
      <c r="D30" s="31"/>
      <c r="E30" s="32">
        <f>SUM(F30:G30)</f>
        <v>48454</v>
      </c>
      <c r="F30" s="31">
        <f>50000-1546</f>
        <v>48454</v>
      </c>
      <c r="G30" s="8">
        <v>0</v>
      </c>
    </row>
    <row r="31" spans="1:7" ht="15" hidden="1">
      <c r="A31" s="323"/>
      <c r="B31" s="33"/>
      <c r="C31" s="34"/>
      <c r="D31" s="34"/>
      <c r="E31" s="35"/>
      <c r="F31" s="34"/>
      <c r="G31" s="36"/>
    </row>
    <row r="32" spans="1:7" ht="18" customHeight="1" hidden="1">
      <c r="A32" s="323"/>
      <c r="B32" s="33"/>
      <c r="C32" s="34"/>
      <c r="D32" s="34"/>
      <c r="E32" s="35"/>
      <c r="F32" s="34"/>
      <c r="G32" s="36"/>
    </row>
    <row r="33" spans="1:7" ht="15" hidden="1">
      <c r="A33" s="323"/>
      <c r="B33" s="33"/>
      <c r="C33" s="34"/>
      <c r="D33" s="34"/>
      <c r="E33" s="35"/>
      <c r="F33" s="34"/>
      <c r="G33" s="36"/>
    </row>
    <row r="34" spans="1:7" ht="12.75" customHeight="1" hidden="1">
      <c r="A34" s="747" t="s">
        <v>6</v>
      </c>
      <c r="B34" s="707" t="s">
        <v>7</v>
      </c>
      <c r="C34" s="37" t="s">
        <v>18</v>
      </c>
      <c r="D34" s="38" t="s">
        <v>8</v>
      </c>
      <c r="E34" s="733" t="s">
        <v>5</v>
      </c>
      <c r="F34" s="703" t="s">
        <v>19</v>
      </c>
      <c r="G34" s="704"/>
    </row>
    <row r="35" spans="1:7" ht="15.75" hidden="1">
      <c r="A35" s="777"/>
      <c r="B35" s="749"/>
      <c r="C35" s="39" t="s">
        <v>0</v>
      </c>
      <c r="D35" s="40" t="s">
        <v>14</v>
      </c>
      <c r="E35" s="734"/>
      <c r="F35" s="705" t="s">
        <v>13</v>
      </c>
      <c r="G35" s="720" t="s">
        <v>20</v>
      </c>
    </row>
    <row r="36" spans="1:7" ht="16.5" hidden="1" thickBot="1">
      <c r="A36" s="777"/>
      <c r="B36" s="750"/>
      <c r="C36" s="41"/>
      <c r="D36" s="42" t="s">
        <v>15</v>
      </c>
      <c r="E36" s="735"/>
      <c r="F36" s="706"/>
      <c r="G36" s="721"/>
    </row>
    <row r="37" spans="1:7" ht="15">
      <c r="A37" s="325"/>
      <c r="B37" s="43" t="s">
        <v>128</v>
      </c>
      <c r="C37" s="5"/>
      <c r="D37" s="6"/>
      <c r="E37" s="7">
        <f>SUM(F37:G37)</f>
        <v>66900</v>
      </c>
      <c r="F37" s="5">
        <v>66900</v>
      </c>
      <c r="G37" s="8">
        <v>0</v>
      </c>
    </row>
    <row r="38" spans="1:7" ht="19.5" customHeight="1">
      <c r="A38" s="323"/>
      <c r="B38" s="43" t="s">
        <v>175</v>
      </c>
      <c r="C38" s="5"/>
      <c r="D38" s="6"/>
      <c r="E38" s="7">
        <f aca="true" t="shared" si="1" ref="E38:E43">SUM(F38:G38)</f>
        <v>14056</v>
      </c>
      <c r="F38" s="5">
        <f>12510+1546</f>
        <v>14056</v>
      </c>
      <c r="G38" s="8">
        <v>0</v>
      </c>
    </row>
    <row r="39" spans="1:7" ht="15" customHeight="1" hidden="1">
      <c r="A39" s="323"/>
      <c r="B39" s="43" t="s">
        <v>83</v>
      </c>
      <c r="C39" s="5"/>
      <c r="D39" s="6"/>
      <c r="E39" s="7">
        <f t="shared" si="1"/>
        <v>0</v>
      </c>
      <c r="F39" s="5">
        <v>0</v>
      </c>
      <c r="G39" s="8">
        <v>0</v>
      </c>
    </row>
    <row r="40" spans="1:7" ht="15" customHeight="1" hidden="1">
      <c r="A40" s="323"/>
      <c r="B40" s="44" t="s">
        <v>84</v>
      </c>
      <c r="C40" s="5"/>
      <c r="D40" s="6"/>
      <c r="E40" s="7">
        <f t="shared" si="1"/>
        <v>0</v>
      </c>
      <c r="F40" s="5">
        <v>0</v>
      </c>
      <c r="G40" s="8"/>
    </row>
    <row r="41" spans="1:7" ht="15.75" customHeight="1" hidden="1" thickBot="1">
      <c r="A41" s="326"/>
      <c r="B41" s="258" t="s">
        <v>98</v>
      </c>
      <c r="C41" s="5">
        <v>44900</v>
      </c>
      <c r="D41" s="6">
        <v>44900</v>
      </c>
      <c r="E41" s="7">
        <f t="shared" si="1"/>
        <v>0</v>
      </c>
      <c r="F41" s="5">
        <v>0</v>
      </c>
      <c r="G41" s="8">
        <v>0</v>
      </c>
    </row>
    <row r="42" spans="1:7" ht="13.5" customHeight="1" hidden="1">
      <c r="A42" s="320"/>
      <c r="B42" s="45" t="s">
        <v>1</v>
      </c>
      <c r="C42" s="5"/>
      <c r="D42" s="6"/>
      <c r="E42" s="7">
        <f t="shared" si="1"/>
        <v>0</v>
      </c>
      <c r="F42" s="5">
        <v>0</v>
      </c>
      <c r="G42" s="8">
        <v>0</v>
      </c>
    </row>
    <row r="43" spans="1:7" ht="13.5" customHeight="1" hidden="1" thickBot="1">
      <c r="A43" s="327"/>
      <c r="B43" s="46" t="s">
        <v>2</v>
      </c>
      <c r="C43" s="5"/>
      <c r="D43" s="6"/>
      <c r="E43" s="29">
        <f t="shared" si="1"/>
        <v>0</v>
      </c>
      <c r="F43" s="23">
        <v>0</v>
      </c>
      <c r="G43" s="13"/>
    </row>
    <row r="44" spans="1:8" ht="15" customHeight="1" hidden="1" thickBot="1">
      <c r="A44" s="215" t="s">
        <v>43</v>
      </c>
      <c r="B44" s="170" t="s">
        <v>71</v>
      </c>
      <c r="C44" s="34"/>
      <c r="D44" s="47"/>
      <c r="E44" s="7">
        <f>SUM(F44:G44)</f>
        <v>0</v>
      </c>
      <c r="F44" s="5">
        <v>0</v>
      </c>
      <c r="G44" s="48">
        <v>0</v>
      </c>
      <c r="H44" s="313" t="s">
        <v>72</v>
      </c>
    </row>
    <row r="45" spans="1:7" ht="16.5" customHeight="1" hidden="1">
      <c r="A45" s="320"/>
      <c r="B45" s="49"/>
      <c r="C45" s="34"/>
      <c r="D45" s="47"/>
      <c r="E45" s="47"/>
      <c r="F45" s="34"/>
      <c r="G45" s="36"/>
    </row>
    <row r="46" spans="1:7" ht="15.75" customHeight="1" hidden="1" thickBot="1">
      <c r="A46" s="328"/>
      <c r="B46" s="50" t="s">
        <v>51</v>
      </c>
      <c r="C46" s="34"/>
      <c r="D46" s="47"/>
      <c r="E46" s="51">
        <f>SUM(F46:G46)</f>
        <v>0</v>
      </c>
      <c r="F46" s="52">
        <v>0</v>
      </c>
      <c r="G46" s="53">
        <v>0</v>
      </c>
    </row>
    <row r="47" spans="1:7" ht="15.75" customHeight="1" hidden="1" thickBot="1">
      <c r="A47" s="328"/>
      <c r="B47" s="50" t="s">
        <v>52</v>
      </c>
      <c r="C47" s="34"/>
      <c r="D47" s="47"/>
      <c r="E47" s="51">
        <f>SUM(F47:G47)</f>
        <v>0</v>
      </c>
      <c r="F47" s="52">
        <v>0</v>
      </c>
      <c r="G47" s="53">
        <v>0</v>
      </c>
    </row>
    <row r="48" spans="1:7" ht="15.75" thickBot="1">
      <c r="A48" s="328"/>
      <c r="B48" s="256" t="s">
        <v>176</v>
      </c>
      <c r="C48" s="34"/>
      <c r="D48" s="47"/>
      <c r="E48" s="7">
        <f>SUM(F48:G48)</f>
        <v>34000</v>
      </c>
      <c r="F48" s="5">
        <v>34000</v>
      </c>
      <c r="G48" s="8">
        <v>0</v>
      </c>
    </row>
    <row r="49" spans="1:7" ht="18" customHeight="1" thickBot="1">
      <c r="A49" s="186" t="s">
        <v>11</v>
      </c>
      <c r="B49" s="54"/>
      <c r="C49" s="55"/>
      <c r="D49" s="56"/>
      <c r="E49" s="57">
        <f>SUM(E50:E70)+E72+E77</f>
        <v>2380438</v>
      </c>
      <c r="F49" s="57">
        <f>SUM(F50:F70)+F72+F77</f>
        <v>1580438</v>
      </c>
      <c r="G49" s="57">
        <f>SUM(G50:G70)+G72+G77</f>
        <v>800000</v>
      </c>
    </row>
    <row r="50" spans="1:7" ht="32.25" customHeight="1">
      <c r="A50" s="181" t="s">
        <v>3</v>
      </c>
      <c r="B50" s="329" t="s">
        <v>114</v>
      </c>
      <c r="C50" s="330"/>
      <c r="D50" s="331"/>
      <c r="E50" s="332">
        <f aca="true" t="shared" si="2" ref="E50:E66">SUM(F50:G50)</f>
        <v>500000</v>
      </c>
      <c r="F50" s="332">
        <f>0+500000</f>
        <v>500000</v>
      </c>
      <c r="G50" s="333">
        <f>500000-500000</f>
        <v>0</v>
      </c>
    </row>
    <row r="51" spans="1:7" ht="33.75" customHeight="1">
      <c r="A51" s="217"/>
      <c r="B51" s="67" t="s">
        <v>168</v>
      </c>
      <c r="C51" s="66"/>
      <c r="D51" s="66"/>
      <c r="E51" s="32">
        <f t="shared" si="2"/>
        <v>10488</v>
      </c>
      <c r="F51" s="66">
        <v>10488</v>
      </c>
      <c r="G51" s="8">
        <v>0</v>
      </c>
    </row>
    <row r="52" spans="1:7" ht="32.25" customHeight="1" thickBot="1">
      <c r="A52" s="218"/>
      <c r="B52" s="301" t="s">
        <v>184</v>
      </c>
      <c r="C52" s="100">
        <v>15000</v>
      </c>
      <c r="D52" s="101">
        <v>15000</v>
      </c>
      <c r="E52" s="124">
        <f t="shared" si="2"/>
        <v>50000</v>
      </c>
      <c r="F52" s="124">
        <v>50000</v>
      </c>
      <c r="G52" s="125">
        <v>0</v>
      </c>
    </row>
    <row r="53" spans="1:8" ht="15.75" customHeight="1">
      <c r="A53" s="219" t="s">
        <v>44</v>
      </c>
      <c r="B53" s="334" t="s">
        <v>129</v>
      </c>
      <c r="C53" s="25">
        <v>15000</v>
      </c>
      <c r="D53" s="26">
        <v>15000</v>
      </c>
      <c r="E53" s="27">
        <f t="shared" si="2"/>
        <v>50000</v>
      </c>
      <c r="F53" s="64">
        <v>50000</v>
      </c>
      <c r="G53" s="62">
        <v>0</v>
      </c>
      <c r="H53" s="335"/>
    </row>
    <row r="54" spans="1:8" ht="15" customHeight="1">
      <c r="A54" s="221"/>
      <c r="B54" s="44" t="s">
        <v>130</v>
      </c>
      <c r="C54" s="5"/>
      <c r="D54" s="6"/>
      <c r="E54" s="7">
        <f t="shared" si="2"/>
        <v>10000</v>
      </c>
      <c r="F54" s="65">
        <v>10000</v>
      </c>
      <c r="G54" s="63">
        <v>0</v>
      </c>
      <c r="H54" s="313" t="s">
        <v>131</v>
      </c>
    </row>
    <row r="55" spans="1:8" ht="16.5" customHeight="1">
      <c r="A55" s="222"/>
      <c r="B55" s="322" t="s">
        <v>132</v>
      </c>
      <c r="C55" s="5"/>
      <c r="D55" s="6"/>
      <c r="E55" s="7">
        <f t="shared" si="2"/>
        <v>40000</v>
      </c>
      <c r="F55" s="65">
        <v>40000</v>
      </c>
      <c r="G55" s="63">
        <v>0</v>
      </c>
      <c r="H55" s="313" t="s">
        <v>133</v>
      </c>
    </row>
    <row r="56" spans="1:8" ht="18" customHeight="1">
      <c r="A56" s="222"/>
      <c r="B56" s="322" t="s">
        <v>68</v>
      </c>
      <c r="C56" s="5"/>
      <c r="D56" s="6"/>
      <c r="E56" s="7">
        <f t="shared" si="2"/>
        <v>14000</v>
      </c>
      <c r="F56" s="65">
        <v>14000</v>
      </c>
      <c r="G56" s="63">
        <v>0</v>
      </c>
      <c r="H56" s="313" t="s">
        <v>134</v>
      </c>
    </row>
    <row r="57" spans="1:8" ht="16.5" customHeight="1">
      <c r="A57" s="222"/>
      <c r="B57" s="314" t="s">
        <v>149</v>
      </c>
      <c r="C57" s="66"/>
      <c r="D57" s="66"/>
      <c r="E57" s="32">
        <f t="shared" si="2"/>
        <v>66000</v>
      </c>
      <c r="F57" s="66">
        <v>66000</v>
      </c>
      <c r="G57" s="8">
        <v>0</v>
      </c>
      <c r="H57" s="313" t="s">
        <v>135</v>
      </c>
    </row>
    <row r="58" spans="1:7" ht="18" customHeight="1">
      <c r="A58" s="223"/>
      <c r="B58" s="67" t="s">
        <v>123</v>
      </c>
      <c r="C58" s="66"/>
      <c r="D58" s="66"/>
      <c r="E58" s="32">
        <f t="shared" si="2"/>
        <v>25000</v>
      </c>
      <c r="F58" s="66">
        <v>25000</v>
      </c>
      <c r="G58" s="8">
        <v>0</v>
      </c>
    </row>
    <row r="59" spans="1:7" ht="16.5" customHeight="1">
      <c r="A59" s="223"/>
      <c r="B59" s="67" t="s">
        <v>115</v>
      </c>
      <c r="C59" s="66"/>
      <c r="D59" s="66"/>
      <c r="E59" s="32">
        <f t="shared" si="2"/>
        <v>15000</v>
      </c>
      <c r="F59" s="66">
        <v>15000</v>
      </c>
      <c r="G59" s="8">
        <v>0</v>
      </c>
    </row>
    <row r="60" spans="1:7" ht="16.5" customHeight="1">
      <c r="A60" s="223"/>
      <c r="B60" s="67" t="s">
        <v>182</v>
      </c>
      <c r="C60" s="66"/>
      <c r="D60" s="66"/>
      <c r="E60" s="32">
        <f>SUM(F60:G60)</f>
        <v>381000</v>
      </c>
      <c r="F60" s="66">
        <v>381000</v>
      </c>
      <c r="G60" s="8">
        <v>0</v>
      </c>
    </row>
    <row r="61" spans="1:8" ht="16.5" customHeight="1">
      <c r="A61" s="223"/>
      <c r="B61" s="67" t="s">
        <v>124</v>
      </c>
      <c r="C61" s="66">
        <v>12500</v>
      </c>
      <c r="D61" s="66">
        <v>12500</v>
      </c>
      <c r="E61" s="32">
        <f t="shared" si="2"/>
        <v>0</v>
      </c>
      <c r="F61" s="66">
        <v>0</v>
      </c>
      <c r="G61" s="8">
        <v>0</v>
      </c>
      <c r="H61" s="313" t="s">
        <v>70</v>
      </c>
    </row>
    <row r="62" spans="1:7" ht="16.5" customHeight="1">
      <c r="A62" s="223"/>
      <c r="B62" s="67" t="s">
        <v>180</v>
      </c>
      <c r="C62" s="66"/>
      <c r="D62" s="66"/>
      <c r="E62" s="32">
        <f t="shared" si="2"/>
        <v>3950</v>
      </c>
      <c r="F62" s="66">
        <v>3950</v>
      </c>
      <c r="G62" s="8"/>
    </row>
    <row r="63" spans="1:7" ht="16.5" customHeight="1">
      <c r="A63" s="223"/>
      <c r="B63" s="336" t="s">
        <v>181</v>
      </c>
      <c r="C63" s="337"/>
      <c r="D63" s="337"/>
      <c r="E63" s="338">
        <f t="shared" si="2"/>
        <v>0</v>
      </c>
      <c r="F63" s="337">
        <f>3050-3050</f>
        <v>0</v>
      </c>
      <c r="G63" s="319"/>
    </row>
    <row r="64" spans="1:7" ht="18" customHeight="1">
      <c r="A64" s="223"/>
      <c r="B64" s="67" t="s">
        <v>136</v>
      </c>
      <c r="C64" s="66">
        <v>12500</v>
      </c>
      <c r="D64" s="66">
        <v>12500</v>
      </c>
      <c r="E64" s="32">
        <f t="shared" si="2"/>
        <v>0</v>
      </c>
      <c r="F64" s="66">
        <f>105000-105000</f>
        <v>0</v>
      </c>
      <c r="G64" s="8">
        <v>0</v>
      </c>
    </row>
    <row r="65" spans="1:7" ht="17.25" customHeight="1">
      <c r="A65" s="223"/>
      <c r="B65" s="67" t="s">
        <v>170</v>
      </c>
      <c r="C65" s="66"/>
      <c r="D65" s="66"/>
      <c r="E65" s="32">
        <f t="shared" si="2"/>
        <v>350000</v>
      </c>
      <c r="F65" s="66">
        <v>350000</v>
      </c>
      <c r="G65" s="8">
        <v>0</v>
      </c>
    </row>
    <row r="66" spans="1:7" ht="16.5" customHeight="1">
      <c r="A66" s="223"/>
      <c r="B66" s="67" t="s">
        <v>171</v>
      </c>
      <c r="C66" s="66"/>
      <c r="D66" s="66"/>
      <c r="E66" s="32">
        <f t="shared" si="2"/>
        <v>0</v>
      </c>
      <c r="F66" s="66">
        <f>160000-160000</f>
        <v>0</v>
      </c>
      <c r="G66" s="8">
        <v>0</v>
      </c>
    </row>
    <row r="67" spans="1:7" ht="16.5" customHeight="1" hidden="1">
      <c r="A67" s="754" t="s">
        <v>6</v>
      </c>
      <c r="B67" s="756" t="s">
        <v>7</v>
      </c>
      <c r="C67" s="68" t="s">
        <v>18</v>
      </c>
      <c r="D67" s="68" t="s">
        <v>8</v>
      </c>
      <c r="E67" s="726" t="s">
        <v>47</v>
      </c>
      <c r="F67" s="728" t="s">
        <v>19</v>
      </c>
      <c r="G67" s="729"/>
    </row>
    <row r="68" spans="1:7" ht="16.5" customHeight="1" hidden="1">
      <c r="A68" s="777"/>
      <c r="B68" s="757"/>
      <c r="C68" s="68" t="s">
        <v>0</v>
      </c>
      <c r="D68" s="68" t="s">
        <v>14</v>
      </c>
      <c r="E68" s="727"/>
      <c r="F68" s="730" t="s">
        <v>13</v>
      </c>
      <c r="G68" s="731" t="s">
        <v>20</v>
      </c>
    </row>
    <row r="69" spans="1:7" ht="16.5" customHeight="1" hidden="1" thickBot="1">
      <c r="A69" s="778"/>
      <c r="B69" s="757"/>
      <c r="C69" s="68"/>
      <c r="D69" s="68" t="s">
        <v>15</v>
      </c>
      <c r="E69" s="727"/>
      <c r="F69" s="727"/>
      <c r="G69" s="732"/>
    </row>
    <row r="70" spans="1:7" ht="16.5" customHeight="1" hidden="1" thickBot="1">
      <c r="A70" s="325"/>
      <c r="B70" s="255" t="s">
        <v>105</v>
      </c>
      <c r="C70" s="69"/>
      <c r="D70" s="69"/>
      <c r="E70" s="70">
        <f>SUM(F70:G70)</f>
        <v>0</v>
      </c>
      <c r="F70" s="69">
        <v>0</v>
      </c>
      <c r="G70" s="176"/>
    </row>
    <row r="71" ht="19.5" customHeight="1" hidden="1" thickBot="1">
      <c r="A71" s="223"/>
    </row>
    <row r="72" spans="1:7" ht="39.75" customHeight="1" hidden="1">
      <c r="A72" s="182" t="s">
        <v>29</v>
      </c>
      <c r="B72" s="45" t="s">
        <v>34</v>
      </c>
      <c r="C72" s="72"/>
      <c r="D72" s="73"/>
      <c r="E72" s="64">
        <f>SUM(F72:G72)</f>
        <v>0</v>
      </c>
      <c r="F72" s="62">
        <f>SUM(F73:F76)</f>
        <v>0</v>
      </c>
      <c r="G72" s="62">
        <v>0</v>
      </c>
    </row>
    <row r="73" spans="1:7" ht="16.5" customHeight="1" hidden="1">
      <c r="A73" s="224"/>
      <c r="B73" s="74" t="s">
        <v>30</v>
      </c>
      <c r="C73" s="75"/>
      <c r="D73" s="76"/>
      <c r="E73" s="77"/>
      <c r="F73" s="78">
        <v>0</v>
      </c>
      <c r="G73" s="78">
        <v>0</v>
      </c>
    </row>
    <row r="74" spans="1:7" ht="16.5" customHeight="1" hidden="1">
      <c r="A74" s="208"/>
      <c r="B74" s="79" t="s">
        <v>31</v>
      </c>
      <c r="C74" s="80"/>
      <c r="D74" s="81"/>
      <c r="E74" s="82"/>
      <c r="F74" s="83">
        <v>0</v>
      </c>
      <c r="G74" s="83">
        <v>0</v>
      </c>
    </row>
    <row r="75" spans="1:7" ht="16.5" customHeight="1" hidden="1">
      <c r="A75" s="208"/>
      <c r="B75" s="79" t="s">
        <v>32</v>
      </c>
      <c r="C75" s="80"/>
      <c r="D75" s="81"/>
      <c r="E75" s="82"/>
      <c r="F75" s="83">
        <v>0</v>
      </c>
      <c r="G75" s="83">
        <v>0</v>
      </c>
    </row>
    <row r="76" spans="1:7" ht="16.5" customHeight="1" hidden="1" thickBot="1">
      <c r="A76" s="225"/>
      <c r="B76" s="84" t="s">
        <v>33</v>
      </c>
      <c r="C76" s="85"/>
      <c r="D76" s="86"/>
      <c r="E76" s="87"/>
      <c r="F76" s="88">
        <v>0</v>
      </c>
      <c r="G76" s="88">
        <v>0</v>
      </c>
    </row>
    <row r="77" spans="1:7" ht="16.5" customHeight="1" thickBot="1">
      <c r="A77" s="225"/>
      <c r="B77" s="336" t="s">
        <v>177</v>
      </c>
      <c r="C77" s="337"/>
      <c r="D77" s="337"/>
      <c r="E77" s="338">
        <f aca="true" t="shared" si="3" ref="E77:E84">SUM(F77:G77)</f>
        <v>865000</v>
      </c>
      <c r="F77" s="337">
        <f>865000-800000</f>
        <v>65000</v>
      </c>
      <c r="G77" s="319">
        <f>0+800000</f>
        <v>800000</v>
      </c>
    </row>
    <row r="78" spans="1:7" ht="16.5" customHeight="1" thickBot="1">
      <c r="A78" s="185" t="s">
        <v>137</v>
      </c>
      <c r="B78" s="103"/>
      <c r="C78" s="104"/>
      <c r="D78" s="105"/>
      <c r="E78" s="106">
        <f t="shared" si="3"/>
        <v>35000</v>
      </c>
      <c r="F78" s="107">
        <f>SUM(F79:F80)</f>
        <v>35000</v>
      </c>
      <c r="G78" s="108">
        <f>SUM(G79:G81)</f>
        <v>0</v>
      </c>
    </row>
    <row r="79" spans="1:7" ht="30" customHeight="1" thickBot="1">
      <c r="A79" s="225" t="s">
        <v>138</v>
      </c>
      <c r="B79" s="256" t="s">
        <v>139</v>
      </c>
      <c r="C79" s="85"/>
      <c r="D79" s="86"/>
      <c r="E79" s="27">
        <f t="shared" si="3"/>
        <v>15000</v>
      </c>
      <c r="F79" s="257">
        <v>15000</v>
      </c>
      <c r="G79" s="53">
        <v>0</v>
      </c>
    </row>
    <row r="80" spans="1:7" ht="19.5" customHeight="1" thickBot="1">
      <c r="A80" s="229"/>
      <c r="B80" s="256" t="s">
        <v>140</v>
      </c>
      <c r="C80" s="85"/>
      <c r="D80" s="86"/>
      <c r="E80" s="27">
        <f t="shared" si="3"/>
        <v>20000</v>
      </c>
      <c r="F80" s="257">
        <v>20000</v>
      </c>
      <c r="G80" s="53">
        <v>0</v>
      </c>
    </row>
    <row r="81" spans="1:7" ht="15.75" customHeight="1" thickBot="1">
      <c r="A81" s="185" t="s">
        <v>36</v>
      </c>
      <c r="B81" s="89"/>
      <c r="C81" s="90"/>
      <c r="D81" s="90"/>
      <c r="E81" s="91">
        <f t="shared" si="3"/>
        <v>35100</v>
      </c>
      <c r="F81" s="92">
        <f>SUM(F82:F84)</f>
        <v>35100</v>
      </c>
      <c r="G81" s="92">
        <f>SUM(G82:G96)</f>
        <v>0</v>
      </c>
    </row>
    <row r="82" spans="1:7" ht="17.25" customHeight="1" thickBot="1">
      <c r="A82" s="2" t="s">
        <v>4</v>
      </c>
      <c r="B82" s="93" t="s">
        <v>169</v>
      </c>
      <c r="C82" s="94"/>
      <c r="D82" s="95"/>
      <c r="E82" s="96">
        <f t="shared" si="3"/>
        <v>5100</v>
      </c>
      <c r="F82" s="97">
        <v>5100</v>
      </c>
      <c r="G82" s="98">
        <v>0</v>
      </c>
    </row>
    <row r="83" spans="1:7" ht="15" customHeight="1" thickBot="1">
      <c r="A83" s="177"/>
      <c r="B83" s="93" t="s">
        <v>172</v>
      </c>
      <c r="C83" s="94"/>
      <c r="D83" s="95"/>
      <c r="E83" s="96">
        <f t="shared" si="3"/>
        <v>20000</v>
      </c>
      <c r="F83" s="97">
        <f>45000-25000</f>
        <v>20000</v>
      </c>
      <c r="G83" s="98">
        <v>0</v>
      </c>
    </row>
    <row r="84" spans="1:7" ht="22.5" customHeight="1" thickBot="1">
      <c r="A84" s="182" t="s">
        <v>106</v>
      </c>
      <c r="B84" s="275" t="s">
        <v>125</v>
      </c>
      <c r="C84" s="94"/>
      <c r="D84" s="95"/>
      <c r="E84" s="276">
        <f t="shared" si="3"/>
        <v>10000</v>
      </c>
      <c r="F84" s="139">
        <v>10000</v>
      </c>
      <c r="G84" s="98">
        <v>0</v>
      </c>
    </row>
    <row r="85" spans="1:7" ht="15" customHeight="1" hidden="1" thickBot="1">
      <c r="A85" s="177"/>
      <c r="B85" s="226"/>
      <c r="C85" s="178"/>
      <c r="D85" s="178"/>
      <c r="E85" s="227"/>
      <c r="F85" s="228"/>
      <c r="G85" s="83"/>
    </row>
    <row r="86" spans="1:7" ht="15" customHeight="1" hidden="1" thickBot="1">
      <c r="A86" s="177"/>
      <c r="B86" s="226"/>
      <c r="C86" s="178"/>
      <c r="D86" s="178"/>
      <c r="E86" s="227"/>
      <c r="F86" s="228"/>
      <c r="G86" s="83"/>
    </row>
    <row r="87" spans="1:7" ht="26.25" customHeight="1" thickBot="1">
      <c r="A87" s="185" t="s">
        <v>66</v>
      </c>
      <c r="B87" s="89"/>
      <c r="C87" s="90"/>
      <c r="D87" s="90"/>
      <c r="E87" s="91">
        <f aca="true" t="shared" si="4" ref="E87:E92">SUM(F87:G87)</f>
        <v>60000</v>
      </c>
      <c r="F87" s="92">
        <f>SUM(F88:F89)</f>
        <v>60000</v>
      </c>
      <c r="G87" s="92">
        <f>SUM(G88:G98)</f>
        <v>0</v>
      </c>
    </row>
    <row r="88" spans="1:7" ht="31.5" customHeight="1" hidden="1" thickBot="1">
      <c r="A88" s="183" t="s">
        <v>48</v>
      </c>
      <c r="B88" s="99" t="s">
        <v>49</v>
      </c>
      <c r="C88" s="100"/>
      <c r="D88" s="101"/>
      <c r="E88" s="102">
        <f t="shared" si="4"/>
        <v>0</v>
      </c>
      <c r="F88" s="100">
        <v>0</v>
      </c>
      <c r="G88" s="71">
        <v>0</v>
      </c>
    </row>
    <row r="89" spans="1:8" ht="15.75" thickBot="1">
      <c r="A89" s="183" t="s">
        <v>65</v>
      </c>
      <c r="B89" s="99" t="s">
        <v>173</v>
      </c>
      <c r="C89" s="100"/>
      <c r="D89" s="101"/>
      <c r="E89" s="102">
        <f t="shared" si="4"/>
        <v>60000</v>
      </c>
      <c r="F89" s="100">
        <f>35000+25000</f>
        <v>60000</v>
      </c>
      <c r="G89" s="71">
        <v>0</v>
      </c>
      <c r="H89" s="313" t="s">
        <v>109</v>
      </c>
    </row>
    <row r="90" spans="1:7" ht="14.25" customHeight="1" thickBot="1">
      <c r="A90" s="185" t="s">
        <v>60</v>
      </c>
      <c r="B90" s="103"/>
      <c r="C90" s="104"/>
      <c r="D90" s="105"/>
      <c r="E90" s="106">
        <f t="shared" si="4"/>
        <v>342</v>
      </c>
      <c r="F90" s="107">
        <f>SUM(F91)</f>
        <v>342</v>
      </c>
      <c r="G90" s="108">
        <f>SUM(G91:G92)</f>
        <v>0</v>
      </c>
    </row>
    <row r="91" spans="1:7" ht="16.5" customHeight="1" thickBot="1">
      <c r="A91" s="229" t="s">
        <v>61</v>
      </c>
      <c r="B91" s="256" t="s">
        <v>62</v>
      </c>
      <c r="C91" s="85"/>
      <c r="D91" s="86"/>
      <c r="E91" s="27">
        <f t="shared" si="4"/>
        <v>342</v>
      </c>
      <c r="F91" s="257">
        <v>342</v>
      </c>
      <c r="G91" s="53">
        <v>0</v>
      </c>
    </row>
    <row r="92" spans="1:7" ht="28.5" customHeight="1" hidden="1" thickBot="1">
      <c r="A92" s="183" t="s">
        <v>48</v>
      </c>
      <c r="B92" s="99" t="s">
        <v>49</v>
      </c>
      <c r="C92" s="100"/>
      <c r="D92" s="101"/>
      <c r="E92" s="102">
        <f t="shared" si="4"/>
        <v>0</v>
      </c>
      <c r="F92" s="100">
        <v>0</v>
      </c>
      <c r="G92" s="71">
        <v>0</v>
      </c>
    </row>
    <row r="93" spans="1:7" ht="12.75" customHeight="1" hidden="1">
      <c r="A93" s="751" t="s">
        <v>6</v>
      </c>
      <c r="B93" s="709" t="s">
        <v>7</v>
      </c>
      <c r="C93" s="37" t="s">
        <v>18</v>
      </c>
      <c r="D93" s="38" t="s">
        <v>8</v>
      </c>
      <c r="E93" s="758" t="s">
        <v>96</v>
      </c>
      <c r="F93" s="771" t="s">
        <v>19</v>
      </c>
      <c r="G93" s="772"/>
    </row>
    <row r="94" spans="1:7" ht="12.75" customHeight="1" hidden="1">
      <c r="A94" s="779"/>
      <c r="B94" s="722"/>
      <c r="C94" s="39" t="s">
        <v>0</v>
      </c>
      <c r="D94" s="40" t="s">
        <v>14</v>
      </c>
      <c r="E94" s="759"/>
      <c r="F94" s="724" t="s">
        <v>54</v>
      </c>
      <c r="G94" s="768" t="s">
        <v>55</v>
      </c>
    </row>
    <row r="95" spans="1:7" ht="10.5" customHeight="1" hidden="1" thickBot="1">
      <c r="A95" s="780"/>
      <c r="B95" s="723"/>
      <c r="C95" s="41"/>
      <c r="D95" s="42" t="s">
        <v>15</v>
      </c>
      <c r="E95" s="770"/>
      <c r="F95" s="725"/>
      <c r="G95" s="769"/>
    </row>
    <row r="96" spans="1:7" ht="20.25" customHeight="1" hidden="1" thickBot="1">
      <c r="A96" s="188"/>
      <c r="B96" s="109" t="s">
        <v>38</v>
      </c>
      <c r="C96" s="80"/>
      <c r="D96" s="81"/>
      <c r="E96" s="96">
        <f aca="true" t="shared" si="5" ref="E96:E114">SUM(F96:G96)</f>
        <v>0</v>
      </c>
      <c r="F96" s="97">
        <v>0</v>
      </c>
      <c r="G96" s="98">
        <v>0</v>
      </c>
    </row>
    <row r="97" spans="1:9" s="304" customFormat="1" ht="16.5" customHeight="1" thickBot="1">
      <c r="A97" s="185" t="s">
        <v>12</v>
      </c>
      <c r="B97" s="110"/>
      <c r="C97" s="111">
        <v>12500</v>
      </c>
      <c r="D97" s="112">
        <v>12500</v>
      </c>
      <c r="E97" s="106">
        <f t="shared" si="5"/>
        <v>2058387</v>
      </c>
      <c r="F97" s="113">
        <f>SUM(F98:F108)+F109</f>
        <v>2058387</v>
      </c>
      <c r="G97" s="108">
        <f>SUM(G98:G102)</f>
        <v>0</v>
      </c>
      <c r="H97" s="207"/>
      <c r="I97" s="207"/>
    </row>
    <row r="98" spans="1:9" s="304" customFormat="1" ht="18.75" customHeight="1">
      <c r="A98" s="293" t="s">
        <v>26</v>
      </c>
      <c r="B98" s="46" t="s">
        <v>101</v>
      </c>
      <c r="C98" s="114"/>
      <c r="D98" s="115"/>
      <c r="E98" s="7">
        <f t="shared" si="5"/>
        <v>550000</v>
      </c>
      <c r="F98" s="116">
        <v>550000</v>
      </c>
      <c r="G98" s="63">
        <v>0</v>
      </c>
      <c r="H98" s="207"/>
      <c r="I98" s="207"/>
    </row>
    <row r="99" spans="1:9" s="304" customFormat="1" ht="21" customHeight="1">
      <c r="A99" s="294"/>
      <c r="B99" s="339" t="s">
        <v>112</v>
      </c>
      <c r="C99" s="340"/>
      <c r="D99" s="341"/>
      <c r="E99" s="318">
        <f t="shared" si="5"/>
        <v>1245687</v>
      </c>
      <c r="F99" s="342">
        <f>1205687+40000</f>
        <v>1245687</v>
      </c>
      <c r="G99" s="345">
        <v>0</v>
      </c>
      <c r="H99" s="207"/>
      <c r="I99" s="207"/>
    </row>
    <row r="100" spans="1:9" s="304" customFormat="1" ht="19.5" customHeight="1">
      <c r="A100" s="295"/>
      <c r="B100" s="45" t="s">
        <v>92</v>
      </c>
      <c r="C100" s="117">
        <v>47000</v>
      </c>
      <c r="D100" s="118">
        <v>47000</v>
      </c>
      <c r="E100" s="27">
        <f t="shared" si="5"/>
        <v>10000</v>
      </c>
      <c r="F100" s="119">
        <v>10000</v>
      </c>
      <c r="G100" s="62">
        <v>0</v>
      </c>
      <c r="H100" s="207"/>
      <c r="I100" s="207"/>
    </row>
    <row r="101" spans="1:9" s="304" customFormat="1" ht="18" customHeight="1" thickBot="1">
      <c r="A101" s="296"/>
      <c r="B101" s="292" t="s">
        <v>122</v>
      </c>
      <c r="C101" s="168"/>
      <c r="D101" s="168"/>
      <c r="E101" s="27">
        <f t="shared" si="5"/>
        <v>7000</v>
      </c>
      <c r="F101" s="119">
        <v>7000</v>
      </c>
      <c r="G101" s="62"/>
      <c r="H101" s="207"/>
      <c r="I101" s="207"/>
    </row>
    <row r="102" spans="1:9" s="304" customFormat="1" ht="17.25" customHeight="1">
      <c r="A102" s="259" t="s">
        <v>27</v>
      </c>
      <c r="B102" s="343" t="s">
        <v>174</v>
      </c>
      <c r="C102" s="340"/>
      <c r="D102" s="341"/>
      <c r="E102" s="344">
        <f t="shared" si="5"/>
        <v>240000</v>
      </c>
      <c r="F102" s="342">
        <f>210000+30000</f>
        <v>240000</v>
      </c>
      <c r="G102" s="345">
        <v>0</v>
      </c>
      <c r="H102" s="207"/>
      <c r="I102" s="207"/>
    </row>
    <row r="103" spans="1:7" ht="15.75" hidden="1">
      <c r="A103" s="184" t="s">
        <v>63</v>
      </c>
      <c r="B103" s="46"/>
      <c r="C103" s="5"/>
      <c r="D103" s="6"/>
      <c r="E103" s="120">
        <f t="shared" si="5"/>
        <v>0</v>
      </c>
      <c r="F103" s="121">
        <f>SUM(F104)</f>
        <v>0</v>
      </c>
      <c r="G103" s="122">
        <f>SUM(G104)</f>
        <v>0</v>
      </c>
    </row>
    <row r="104" spans="1:7" ht="24" customHeight="1" hidden="1" thickBot="1">
      <c r="A104" s="1" t="s">
        <v>64</v>
      </c>
      <c r="B104" s="99" t="s">
        <v>87</v>
      </c>
      <c r="C104" s="100"/>
      <c r="D104" s="101"/>
      <c r="E104" s="123">
        <f t="shared" si="5"/>
        <v>0</v>
      </c>
      <c r="F104" s="124">
        <v>0</v>
      </c>
      <c r="G104" s="125">
        <v>0</v>
      </c>
    </row>
    <row r="105" spans="1:7" ht="24" customHeight="1" hidden="1">
      <c r="A105" s="260"/>
      <c r="B105" s="46" t="s">
        <v>110</v>
      </c>
      <c r="C105" s="114"/>
      <c r="D105" s="115"/>
      <c r="E105" s="65">
        <f t="shared" si="5"/>
        <v>0</v>
      </c>
      <c r="F105" s="116">
        <v>0</v>
      </c>
      <c r="G105" s="180">
        <v>0</v>
      </c>
    </row>
    <row r="106" spans="1:7" ht="16.5" customHeight="1" hidden="1" thickBot="1">
      <c r="A106" s="165"/>
      <c r="B106" s="46" t="s">
        <v>111</v>
      </c>
      <c r="C106" s="114"/>
      <c r="D106" s="115"/>
      <c r="E106" s="65">
        <f t="shared" si="5"/>
        <v>0</v>
      </c>
      <c r="F106" s="116">
        <v>0</v>
      </c>
      <c r="G106" s="63">
        <v>0</v>
      </c>
    </row>
    <row r="107" spans="1:7" ht="18" customHeight="1" hidden="1">
      <c r="A107" s="166" t="s">
        <v>99</v>
      </c>
      <c r="B107" s="46" t="s">
        <v>100</v>
      </c>
      <c r="C107" s="114"/>
      <c r="D107" s="115"/>
      <c r="E107" s="65">
        <f t="shared" si="5"/>
        <v>0</v>
      </c>
      <c r="F107" s="116">
        <v>0</v>
      </c>
      <c r="G107" s="63">
        <v>0</v>
      </c>
    </row>
    <row r="108" spans="1:7" ht="18" customHeight="1" hidden="1" thickBot="1">
      <c r="A108" s="179"/>
      <c r="B108" s="45" t="s">
        <v>92</v>
      </c>
      <c r="C108" s="117">
        <v>47000</v>
      </c>
      <c r="D108" s="118">
        <v>47000</v>
      </c>
      <c r="E108" s="27">
        <f t="shared" si="5"/>
        <v>0</v>
      </c>
      <c r="F108" s="119">
        <v>0</v>
      </c>
      <c r="G108" s="62">
        <v>0</v>
      </c>
    </row>
    <row r="109" spans="1:7" ht="18" customHeight="1" thickBot="1">
      <c r="A109" s="179" t="s">
        <v>178</v>
      </c>
      <c r="B109" s="109" t="s">
        <v>179</v>
      </c>
      <c r="C109" s="297"/>
      <c r="D109" s="298"/>
      <c r="E109" s="65">
        <f t="shared" si="5"/>
        <v>5700</v>
      </c>
      <c r="F109" s="116">
        <v>5700</v>
      </c>
      <c r="G109" s="63">
        <v>0</v>
      </c>
    </row>
    <row r="110" spans="1:7" ht="18" customHeight="1" thickBot="1">
      <c r="A110" s="185" t="s">
        <v>107</v>
      </c>
      <c r="B110" s="110"/>
      <c r="C110" s="111">
        <v>12500</v>
      </c>
      <c r="D110" s="112">
        <v>12500</v>
      </c>
      <c r="E110" s="106">
        <f t="shared" si="5"/>
        <v>50000</v>
      </c>
      <c r="F110" s="283">
        <f>SUM(F111)</f>
        <v>50000</v>
      </c>
      <c r="G110" s="108">
        <f>SUM(G111)</f>
        <v>0</v>
      </c>
    </row>
    <row r="111" spans="1:7" ht="20.25" customHeight="1" thickBot="1">
      <c r="A111" s="3" t="s">
        <v>108</v>
      </c>
      <c r="B111" s="46" t="s">
        <v>162</v>
      </c>
      <c r="C111" s="114"/>
      <c r="D111" s="115"/>
      <c r="E111" s="7">
        <f t="shared" si="5"/>
        <v>50000</v>
      </c>
      <c r="F111" s="116">
        <v>50000</v>
      </c>
      <c r="G111" s="63">
        <v>0</v>
      </c>
    </row>
    <row r="112" spans="1:7" ht="31.5" customHeight="1" thickBot="1">
      <c r="A112" s="186" t="s">
        <v>9</v>
      </c>
      <c r="B112" s="54"/>
      <c r="C112" s="55">
        <v>40000</v>
      </c>
      <c r="D112" s="126">
        <v>40000</v>
      </c>
      <c r="E112" s="106">
        <f t="shared" si="5"/>
        <v>143500</v>
      </c>
      <c r="F112" s="127">
        <f>SUM(F114:F119)</f>
        <v>143500</v>
      </c>
      <c r="G112" s="58">
        <f>SUM(G114:G119)</f>
        <v>0</v>
      </c>
    </row>
    <row r="113" spans="1:7" ht="13.5" customHeight="1" hidden="1">
      <c r="A113" s="230"/>
      <c r="B113" s="128"/>
      <c r="C113" s="129"/>
      <c r="D113" s="130"/>
      <c r="E113" s="27">
        <f t="shared" si="5"/>
        <v>0</v>
      </c>
      <c r="F113" s="131"/>
      <c r="G113" s="122"/>
    </row>
    <row r="114" spans="1:7" ht="19.5" customHeight="1" hidden="1" thickBot="1">
      <c r="A114" s="231" t="s">
        <v>89</v>
      </c>
      <c r="B114" s="132" t="s">
        <v>91</v>
      </c>
      <c r="C114" s="133">
        <v>36475</v>
      </c>
      <c r="D114" s="134">
        <v>36475</v>
      </c>
      <c r="E114" s="102">
        <f t="shared" si="5"/>
        <v>0</v>
      </c>
      <c r="F114" s="135">
        <v>0</v>
      </c>
      <c r="G114" s="125">
        <v>0</v>
      </c>
    </row>
    <row r="115" spans="1:7" ht="15.75" customHeight="1" hidden="1">
      <c r="A115" s="751" t="s">
        <v>6</v>
      </c>
      <c r="B115" s="709" t="s">
        <v>7</v>
      </c>
      <c r="C115" s="37" t="s">
        <v>18</v>
      </c>
      <c r="D115" s="38" t="s">
        <v>8</v>
      </c>
      <c r="E115" s="733" t="s">
        <v>37</v>
      </c>
      <c r="F115" s="703" t="s">
        <v>19</v>
      </c>
      <c r="G115" s="704"/>
    </row>
    <row r="116" spans="1:7" ht="16.5" hidden="1" thickBot="1">
      <c r="A116" s="779"/>
      <c r="B116" s="722"/>
      <c r="C116" s="39" t="s">
        <v>0</v>
      </c>
      <c r="D116" s="40" t="s">
        <v>14</v>
      </c>
      <c r="E116" s="734"/>
      <c r="F116" s="705" t="s">
        <v>13</v>
      </c>
      <c r="G116" s="720" t="s">
        <v>20</v>
      </c>
    </row>
    <row r="117" spans="1:7" ht="15" customHeight="1" hidden="1" thickBot="1">
      <c r="A117" s="780"/>
      <c r="B117" s="723"/>
      <c r="C117" s="41"/>
      <c r="D117" s="42" t="s">
        <v>15</v>
      </c>
      <c r="E117" s="735"/>
      <c r="F117" s="706"/>
      <c r="G117" s="721"/>
    </row>
    <row r="118" spans="1:7" ht="45" customHeight="1" hidden="1" thickBot="1">
      <c r="A118" s="231" t="s">
        <v>40</v>
      </c>
      <c r="B118" s="171" t="s">
        <v>41</v>
      </c>
      <c r="C118" s="264">
        <v>36475</v>
      </c>
      <c r="D118" s="265">
        <v>36475</v>
      </c>
      <c r="E118" s="29">
        <f aca="true" t="shared" si="6" ref="E118:E128">SUM(F118:G118)</f>
        <v>0</v>
      </c>
      <c r="F118" s="266">
        <v>0</v>
      </c>
      <c r="G118" s="180">
        <v>0</v>
      </c>
    </row>
    <row r="119" spans="1:7" ht="18" customHeight="1" thickBot="1">
      <c r="A119" s="262" t="s">
        <v>35</v>
      </c>
      <c r="B119" s="267"/>
      <c r="C119" s="268"/>
      <c r="D119" s="269"/>
      <c r="E119" s="270">
        <f t="shared" si="6"/>
        <v>143500</v>
      </c>
      <c r="F119" s="271">
        <f>SUM(F120:F128)</f>
        <v>143500</v>
      </c>
      <c r="G119" s="271">
        <f>SUM(G120:G128)</f>
        <v>0</v>
      </c>
    </row>
    <row r="120" spans="1:7" ht="16.5" customHeight="1">
      <c r="A120" s="263"/>
      <c r="B120" s="272" t="s">
        <v>116</v>
      </c>
      <c r="C120" s="136">
        <v>36475</v>
      </c>
      <c r="D120" s="137">
        <v>36475</v>
      </c>
      <c r="E120" s="138">
        <f t="shared" si="6"/>
        <v>40000</v>
      </c>
      <c r="F120" s="139">
        <v>40000</v>
      </c>
      <c r="G120" s="19">
        <v>0</v>
      </c>
    </row>
    <row r="121" spans="1:7" ht="16.5" customHeight="1">
      <c r="A121" s="223"/>
      <c r="B121" s="273" t="s">
        <v>117</v>
      </c>
      <c r="C121" s="140"/>
      <c r="D121" s="141"/>
      <c r="E121" s="32">
        <f t="shared" si="6"/>
        <v>15000</v>
      </c>
      <c r="F121" s="66">
        <v>15000</v>
      </c>
      <c r="G121" s="8">
        <v>0</v>
      </c>
    </row>
    <row r="122" spans="1:7" ht="18" customHeight="1">
      <c r="A122" s="223"/>
      <c r="B122" s="273" t="s">
        <v>118</v>
      </c>
      <c r="C122" s="136"/>
      <c r="D122" s="137"/>
      <c r="E122" s="32">
        <f t="shared" si="6"/>
        <v>8000</v>
      </c>
      <c r="F122" s="139">
        <v>8000</v>
      </c>
      <c r="G122" s="19">
        <v>0</v>
      </c>
    </row>
    <row r="123" spans="1:7" ht="15.75" customHeight="1">
      <c r="A123" s="223"/>
      <c r="B123" s="274" t="s">
        <v>90</v>
      </c>
      <c r="C123" s="136"/>
      <c r="D123" s="137"/>
      <c r="E123" s="32">
        <f t="shared" si="6"/>
        <v>8200</v>
      </c>
      <c r="F123" s="299">
        <v>8200</v>
      </c>
      <c r="G123" s="19">
        <v>0</v>
      </c>
    </row>
    <row r="124" spans="1:7" ht="16.5" customHeight="1">
      <c r="A124" s="223"/>
      <c r="B124" s="273" t="s">
        <v>119</v>
      </c>
      <c r="C124" s="140"/>
      <c r="D124" s="141"/>
      <c r="E124" s="138">
        <f t="shared" si="6"/>
        <v>3000</v>
      </c>
      <c r="F124" s="143">
        <v>3000</v>
      </c>
      <c r="G124" s="8">
        <v>0</v>
      </c>
    </row>
    <row r="125" spans="1:8" ht="16.5" customHeight="1">
      <c r="A125" s="223"/>
      <c r="B125" s="273" t="s">
        <v>144</v>
      </c>
      <c r="C125" s="140"/>
      <c r="D125" s="141"/>
      <c r="E125" s="138">
        <f t="shared" si="6"/>
        <v>29000</v>
      </c>
      <c r="F125" s="143">
        <v>29000</v>
      </c>
      <c r="G125" s="8"/>
      <c r="H125" s="313" t="s">
        <v>145</v>
      </c>
    </row>
    <row r="126" spans="1:7" ht="17.25" customHeight="1">
      <c r="A126" s="223"/>
      <c r="B126" s="273" t="s">
        <v>121</v>
      </c>
      <c r="C126" s="140"/>
      <c r="D126" s="141"/>
      <c r="E126" s="138">
        <f t="shared" si="6"/>
        <v>3000</v>
      </c>
      <c r="F126" s="143">
        <v>3000</v>
      </c>
      <c r="G126" s="8"/>
    </row>
    <row r="127" spans="1:7" ht="20.25" customHeight="1">
      <c r="A127" s="223"/>
      <c r="B127" s="273" t="s">
        <v>141</v>
      </c>
      <c r="C127" s="140"/>
      <c r="D127" s="141"/>
      <c r="E127" s="138">
        <f t="shared" si="6"/>
        <v>25000</v>
      </c>
      <c r="F127" s="143">
        <v>25000</v>
      </c>
      <c r="G127" s="8"/>
    </row>
    <row r="128" spans="1:8" ht="20.25" customHeight="1" thickBot="1">
      <c r="A128" s="223"/>
      <c r="B128" s="277" t="s">
        <v>120</v>
      </c>
      <c r="C128" s="264"/>
      <c r="D128" s="265"/>
      <c r="E128" s="278">
        <f t="shared" si="6"/>
        <v>12300</v>
      </c>
      <c r="F128" s="279">
        <v>12300</v>
      </c>
      <c r="G128" s="13"/>
      <c r="H128" s="313" t="s">
        <v>160</v>
      </c>
    </row>
    <row r="129" spans="1:7" ht="15" customHeight="1">
      <c r="A129" s="751" t="s">
        <v>6</v>
      </c>
      <c r="B129" s="709" t="s">
        <v>7</v>
      </c>
      <c r="C129" s="37" t="s">
        <v>18</v>
      </c>
      <c r="D129" s="38" t="s">
        <v>8</v>
      </c>
      <c r="E129" s="733" t="s">
        <v>165</v>
      </c>
      <c r="F129" s="703" t="s">
        <v>19</v>
      </c>
      <c r="G129" s="704"/>
    </row>
    <row r="130" spans="1:7" ht="12.75" customHeight="1">
      <c r="A130" s="779"/>
      <c r="B130" s="722"/>
      <c r="C130" s="39" t="s">
        <v>0</v>
      </c>
      <c r="D130" s="40" t="s">
        <v>14</v>
      </c>
      <c r="E130" s="734"/>
      <c r="F130" s="716" t="s">
        <v>13</v>
      </c>
      <c r="G130" s="718" t="str">
        <f>G5</f>
        <v>środki zewnętrzne (zł)</v>
      </c>
    </row>
    <row r="131" spans="1:7" ht="18" customHeight="1" thickBot="1">
      <c r="A131" s="780"/>
      <c r="B131" s="723"/>
      <c r="C131" s="41"/>
      <c r="D131" s="42" t="s">
        <v>15</v>
      </c>
      <c r="E131" s="735"/>
      <c r="F131" s="781"/>
      <c r="G131" s="782"/>
    </row>
    <row r="132" spans="1:17" ht="28.5" customHeight="1" thickBot="1">
      <c r="A132" s="186" t="s">
        <v>21</v>
      </c>
      <c r="B132" s="54"/>
      <c r="C132" s="55">
        <v>23200</v>
      </c>
      <c r="D132" s="126">
        <v>23200</v>
      </c>
      <c r="E132" s="161">
        <f aca="true" t="shared" si="7" ref="E132:E158">SUM(F132:G132)</f>
        <v>102500</v>
      </c>
      <c r="F132" s="187">
        <f>SUM(F133:F142)</f>
        <v>102500</v>
      </c>
      <c r="G132" s="144">
        <f>SUM(G133:G141)</f>
        <v>0</v>
      </c>
      <c r="K132" s="307"/>
      <c r="L132" s="307"/>
      <c r="M132" s="308"/>
      <c r="N132" s="308"/>
      <c r="O132" s="309"/>
      <c r="P132" s="310"/>
      <c r="Q132" s="310"/>
    </row>
    <row r="133" spans="1:7" ht="25.5">
      <c r="A133" s="188" t="s">
        <v>22</v>
      </c>
      <c r="B133" s="346" t="s">
        <v>142</v>
      </c>
      <c r="C133" s="347">
        <v>1500</v>
      </c>
      <c r="D133" s="348">
        <v>1500</v>
      </c>
      <c r="E133" s="349">
        <f t="shared" si="7"/>
        <v>55000</v>
      </c>
      <c r="F133" s="350">
        <f>75000-20000</f>
        <v>55000</v>
      </c>
      <c r="G133" s="351">
        <v>0</v>
      </c>
    </row>
    <row r="134" spans="1:8" ht="17.25" customHeight="1" thickBot="1">
      <c r="A134" s="236"/>
      <c r="B134" s="352" t="s">
        <v>155</v>
      </c>
      <c r="C134" s="148"/>
      <c r="D134" s="149"/>
      <c r="E134" s="162">
        <f t="shared" si="7"/>
        <v>35000</v>
      </c>
      <c r="F134" s="139">
        <v>35000</v>
      </c>
      <c r="G134" s="19">
        <v>0</v>
      </c>
      <c r="H134" s="313" t="s">
        <v>133</v>
      </c>
    </row>
    <row r="135" spans="1:7" ht="15.75" hidden="1" thickBot="1">
      <c r="A135" s="320"/>
      <c r="B135" s="46" t="s">
        <v>88</v>
      </c>
      <c r="C135" s="150"/>
      <c r="D135" s="151"/>
      <c r="E135" s="163">
        <f t="shared" si="7"/>
        <v>0</v>
      </c>
      <c r="F135" s="66">
        <v>0</v>
      </c>
      <c r="G135" s="8">
        <v>0</v>
      </c>
    </row>
    <row r="136" spans="1:8" ht="17.25" customHeight="1" thickBot="1">
      <c r="A136" s="320"/>
      <c r="B136" s="167" t="s">
        <v>158</v>
      </c>
      <c r="C136" s="150">
        <v>1500</v>
      </c>
      <c r="D136" s="151">
        <v>1500</v>
      </c>
      <c r="E136" s="162">
        <f t="shared" si="7"/>
        <v>7500</v>
      </c>
      <c r="F136" s="138">
        <v>7500</v>
      </c>
      <c r="G136" s="8">
        <v>0</v>
      </c>
      <c r="H136" s="313" t="s">
        <v>159</v>
      </c>
    </row>
    <row r="137" spans="1:7" ht="22.5" customHeight="1" hidden="1" thickBot="1">
      <c r="A137" s="320"/>
      <c r="B137" s="152" t="s">
        <v>97</v>
      </c>
      <c r="C137" s="150"/>
      <c r="D137" s="151"/>
      <c r="E137" s="162">
        <f t="shared" si="7"/>
        <v>0</v>
      </c>
      <c r="F137" s="138">
        <v>0</v>
      </c>
      <c r="G137" s="8">
        <v>0</v>
      </c>
    </row>
    <row r="138" spans="1:7" ht="17.25" customHeight="1" hidden="1" thickBot="1">
      <c r="A138" s="320"/>
      <c r="B138" s="152" t="s">
        <v>93</v>
      </c>
      <c r="C138" s="150"/>
      <c r="D138" s="151"/>
      <c r="E138" s="162">
        <f t="shared" si="7"/>
        <v>0</v>
      </c>
      <c r="F138" s="138">
        <v>0</v>
      </c>
      <c r="G138" s="8">
        <v>0</v>
      </c>
    </row>
    <row r="139" spans="1:7" ht="17.25" customHeight="1" hidden="1" thickBot="1">
      <c r="A139" s="320"/>
      <c r="B139" s="353" t="s">
        <v>86</v>
      </c>
      <c r="C139" s="150"/>
      <c r="D139" s="151"/>
      <c r="E139" s="163">
        <f t="shared" si="7"/>
        <v>0</v>
      </c>
      <c r="F139" s="66">
        <v>0</v>
      </c>
      <c r="G139" s="8">
        <v>0</v>
      </c>
    </row>
    <row r="140" spans="1:7" ht="18.75" customHeight="1" hidden="1" thickBot="1">
      <c r="A140" s="320"/>
      <c r="B140" s="46" t="s">
        <v>113</v>
      </c>
      <c r="C140" s="150"/>
      <c r="D140" s="151"/>
      <c r="E140" s="163">
        <f t="shared" si="7"/>
        <v>0</v>
      </c>
      <c r="F140" s="66">
        <v>0</v>
      </c>
      <c r="G140" s="8">
        <v>0</v>
      </c>
    </row>
    <row r="141" spans="1:10" ht="15" customHeight="1" hidden="1" thickBot="1">
      <c r="A141" s="328"/>
      <c r="B141" s="171" t="s">
        <v>85</v>
      </c>
      <c r="C141" s="172"/>
      <c r="D141" s="173"/>
      <c r="E141" s="174">
        <f t="shared" si="7"/>
        <v>0</v>
      </c>
      <c r="F141" s="175">
        <v>0</v>
      </c>
      <c r="G141" s="13">
        <v>0</v>
      </c>
      <c r="H141" s="335"/>
      <c r="J141" s="306"/>
    </row>
    <row r="142" spans="1:10" ht="30" customHeight="1" thickBot="1">
      <c r="A142" s="240" t="s">
        <v>59</v>
      </c>
      <c r="B142" s="354" t="s">
        <v>156</v>
      </c>
      <c r="C142" s="155">
        <v>1500</v>
      </c>
      <c r="D142" s="156">
        <v>1500</v>
      </c>
      <c r="E142" s="164">
        <f t="shared" si="7"/>
        <v>5000</v>
      </c>
      <c r="F142" s="69">
        <v>5000</v>
      </c>
      <c r="G142" s="71">
        <v>0</v>
      </c>
      <c r="H142" s="335" t="s">
        <v>157</v>
      </c>
      <c r="J142" s="306"/>
    </row>
    <row r="143" spans="1:7" ht="18" customHeight="1" thickBot="1">
      <c r="A143" s="241" t="s">
        <v>23</v>
      </c>
      <c r="B143" s="54"/>
      <c r="C143" s="55">
        <v>23200</v>
      </c>
      <c r="D143" s="126">
        <v>23200</v>
      </c>
      <c r="E143" s="106">
        <f t="shared" si="7"/>
        <v>181000</v>
      </c>
      <c r="F143" s="55">
        <f>SUM(F144:F158)</f>
        <v>151000</v>
      </c>
      <c r="G143" s="144">
        <f>SUM(G144:G158)</f>
        <v>30000</v>
      </c>
    </row>
    <row r="144" spans="1:10" ht="15.75" thickBot="1">
      <c r="A144" s="208" t="s">
        <v>24</v>
      </c>
      <c r="B144" s="157" t="s">
        <v>147</v>
      </c>
      <c r="C144" s="148">
        <v>1500</v>
      </c>
      <c r="D144" s="149">
        <v>1500</v>
      </c>
      <c r="E144" s="138">
        <f t="shared" si="7"/>
        <v>33500</v>
      </c>
      <c r="F144" s="139">
        <v>33500</v>
      </c>
      <c r="G144" s="19">
        <v>0</v>
      </c>
      <c r="H144" s="313" t="s">
        <v>148</v>
      </c>
      <c r="J144" s="302"/>
    </row>
    <row r="145" spans="1:10" ht="15.75" thickBot="1">
      <c r="A145" s="236"/>
      <c r="B145" s="355" t="s">
        <v>103</v>
      </c>
      <c r="C145" s="150"/>
      <c r="D145" s="151"/>
      <c r="E145" s="138">
        <f t="shared" si="7"/>
        <v>14000</v>
      </c>
      <c r="F145" s="66">
        <v>14000</v>
      </c>
      <c r="G145" s="8">
        <v>0</v>
      </c>
      <c r="H145" s="313" t="s">
        <v>151</v>
      </c>
      <c r="J145" s="302"/>
    </row>
    <row r="146" spans="1:10" ht="15.75" thickBot="1">
      <c r="A146" s="320"/>
      <c r="B146" s="324" t="s">
        <v>67</v>
      </c>
      <c r="C146" s="150"/>
      <c r="D146" s="151"/>
      <c r="E146" s="138">
        <f t="shared" si="7"/>
        <v>15000</v>
      </c>
      <c r="F146" s="66">
        <v>15000</v>
      </c>
      <c r="G146" s="8">
        <v>0</v>
      </c>
      <c r="H146" s="356" t="s">
        <v>143</v>
      </c>
      <c r="J146" s="302"/>
    </row>
    <row r="147" spans="1:10" ht="15.75" thickBot="1">
      <c r="A147" s="320"/>
      <c r="B147" s="44" t="s">
        <v>146</v>
      </c>
      <c r="C147" s="150"/>
      <c r="D147" s="151"/>
      <c r="E147" s="138">
        <f t="shared" si="7"/>
        <v>5000</v>
      </c>
      <c r="F147" s="66">
        <v>5000</v>
      </c>
      <c r="G147" s="8">
        <v>0</v>
      </c>
      <c r="H147" s="356" t="s">
        <v>157</v>
      </c>
      <c r="J147" s="302"/>
    </row>
    <row r="148" spans="1:10" ht="30.75" thickBot="1">
      <c r="A148" s="320"/>
      <c r="B148" s="357" t="s">
        <v>95</v>
      </c>
      <c r="C148" s="358"/>
      <c r="D148" s="359"/>
      <c r="E148" s="338">
        <f t="shared" si="7"/>
        <v>90000</v>
      </c>
      <c r="F148" s="337">
        <v>60000</v>
      </c>
      <c r="G148" s="319">
        <f>0+30000</f>
        <v>30000</v>
      </c>
      <c r="H148" s="356" t="s">
        <v>150</v>
      </c>
      <c r="J148" s="302"/>
    </row>
    <row r="149" spans="1:10" ht="12.75" hidden="1">
      <c r="A149" s="707" t="s">
        <v>6</v>
      </c>
      <c r="B149" s="709" t="s">
        <v>7</v>
      </c>
      <c r="C149" s="197" t="s">
        <v>18</v>
      </c>
      <c r="D149" s="198" t="s">
        <v>8</v>
      </c>
      <c r="E149" s="711" t="s">
        <v>96</v>
      </c>
      <c r="F149" s="714" t="s">
        <v>19</v>
      </c>
      <c r="G149" s="715"/>
      <c r="H149" s="356"/>
      <c r="J149" s="302"/>
    </row>
    <row r="150" spans="1:10" ht="12.75" hidden="1">
      <c r="A150" s="708"/>
      <c r="B150" s="710"/>
      <c r="C150" s="201" t="s">
        <v>0</v>
      </c>
      <c r="D150" s="202" t="s">
        <v>14</v>
      </c>
      <c r="E150" s="712"/>
      <c r="F150" s="716" t="s">
        <v>54</v>
      </c>
      <c r="G150" s="718" t="s">
        <v>55</v>
      </c>
      <c r="H150" s="356"/>
      <c r="J150" s="302"/>
    </row>
    <row r="151" spans="1:10" ht="12.75" hidden="1">
      <c r="A151" s="708"/>
      <c r="B151" s="710"/>
      <c r="C151" s="201"/>
      <c r="D151" s="202" t="s">
        <v>15</v>
      </c>
      <c r="E151" s="713"/>
      <c r="F151" s="717"/>
      <c r="G151" s="719"/>
      <c r="H151" s="356"/>
      <c r="J151" s="302"/>
    </row>
    <row r="152" spans="1:10" ht="15.75">
      <c r="A152" s="280"/>
      <c r="B152" s="142" t="s">
        <v>58</v>
      </c>
      <c r="C152" s="136"/>
      <c r="D152" s="137"/>
      <c r="E152" s="138">
        <f>SUM(F152:G152)</f>
        <v>12000</v>
      </c>
      <c r="F152" s="143">
        <v>12000</v>
      </c>
      <c r="G152" s="19">
        <v>0</v>
      </c>
      <c r="H152" s="356" t="s">
        <v>152</v>
      </c>
      <c r="J152" s="302"/>
    </row>
    <row r="153" spans="1:10" ht="15.75" hidden="1" thickBot="1">
      <c r="A153" s="320"/>
      <c r="B153" s="159" t="s">
        <v>58</v>
      </c>
      <c r="C153" s="150"/>
      <c r="D153" s="151"/>
      <c r="E153" s="32">
        <f t="shared" si="7"/>
        <v>0</v>
      </c>
      <c r="F153" s="66">
        <v>0</v>
      </c>
      <c r="G153" s="8">
        <v>0</v>
      </c>
      <c r="H153" s="356" t="s">
        <v>69</v>
      </c>
      <c r="J153" s="302"/>
    </row>
    <row r="154" spans="1:10" ht="18.75" customHeight="1" thickBot="1">
      <c r="A154" s="320"/>
      <c r="B154" s="355" t="s">
        <v>153</v>
      </c>
      <c r="C154" s="150"/>
      <c r="D154" s="151"/>
      <c r="E154" s="32">
        <f t="shared" si="7"/>
        <v>5500</v>
      </c>
      <c r="F154" s="66">
        <f>5000+500</f>
        <v>5500</v>
      </c>
      <c r="G154" s="8">
        <v>0</v>
      </c>
      <c r="H154" s="356" t="s">
        <v>154</v>
      </c>
      <c r="J154" s="302"/>
    </row>
    <row r="155" spans="1:10" ht="15.75" hidden="1" thickBot="1">
      <c r="A155" s="320"/>
      <c r="B155" s="159" t="s">
        <v>94</v>
      </c>
      <c r="C155" s="150"/>
      <c r="D155" s="151"/>
      <c r="E155" s="32">
        <f t="shared" si="7"/>
        <v>0</v>
      </c>
      <c r="F155" s="66">
        <v>0</v>
      </c>
      <c r="G155" s="8">
        <v>0</v>
      </c>
      <c r="J155" s="302"/>
    </row>
    <row r="156" spans="1:10" ht="31.5" customHeight="1" hidden="1" thickBot="1">
      <c r="A156" s="320"/>
      <c r="B156" s="159" t="s">
        <v>102</v>
      </c>
      <c r="C156" s="150"/>
      <c r="D156" s="151"/>
      <c r="E156" s="32">
        <f t="shared" si="7"/>
        <v>0</v>
      </c>
      <c r="F156" s="66">
        <v>0</v>
      </c>
      <c r="G156" s="8">
        <v>0</v>
      </c>
      <c r="J156" s="302"/>
    </row>
    <row r="157" spans="1:10" ht="18" customHeight="1" thickBot="1">
      <c r="A157" s="328"/>
      <c r="B157" s="160" t="s">
        <v>73</v>
      </c>
      <c r="C157" s="150"/>
      <c r="D157" s="151"/>
      <c r="E157" s="70">
        <f t="shared" si="7"/>
        <v>6000</v>
      </c>
      <c r="F157" s="69">
        <v>6000</v>
      </c>
      <c r="G157" s="71">
        <v>0</v>
      </c>
      <c r="H157" s="313" t="s">
        <v>161</v>
      </c>
      <c r="J157" s="302"/>
    </row>
    <row r="158" spans="1:9" s="302" customFormat="1" ht="13.5" hidden="1" thickBot="1">
      <c r="A158" s="328"/>
      <c r="B158" s="328" t="s">
        <v>28</v>
      </c>
      <c r="C158" s="243">
        <v>1500</v>
      </c>
      <c r="D158" s="244">
        <v>1500</v>
      </c>
      <c r="E158" s="245">
        <f t="shared" si="7"/>
        <v>0</v>
      </c>
      <c r="F158" s="360">
        <v>0</v>
      </c>
      <c r="G158" s="361">
        <v>0</v>
      </c>
      <c r="H158" s="312"/>
      <c r="I158" s="312"/>
    </row>
    <row r="159" spans="1:9" s="302" customFormat="1" ht="5.25" customHeight="1">
      <c r="A159" s="311"/>
      <c r="B159" s="311"/>
      <c r="C159" s="312"/>
      <c r="D159" s="313"/>
      <c r="E159" s="313"/>
      <c r="F159" s="312"/>
      <c r="G159" s="312"/>
      <c r="H159" s="312"/>
      <c r="I159" s="312"/>
    </row>
    <row r="160" spans="1:9" s="302" customFormat="1" ht="16.5" thickBot="1">
      <c r="A160" s="746" t="s">
        <v>17</v>
      </c>
      <c r="B160" s="746"/>
      <c r="C160" s="249"/>
      <c r="D160" s="168"/>
      <c r="E160" s="363">
        <f>SUM(E112+E97+E90+E81+E49+E7+E132+E143+E87+E103+E110+E78)</f>
        <v>5648877</v>
      </c>
      <c r="F160" s="363">
        <f>SUM(F112+F97+F90+F81+F49+F7+F132+F143+F87+F103+F110+F78)</f>
        <v>4818877</v>
      </c>
      <c r="G160" s="363">
        <f>SUM(G112+G97+G90+G81+G49+G7+G132+G143+G87+G103)</f>
        <v>830000</v>
      </c>
      <c r="H160" s="312"/>
      <c r="I160" s="312"/>
    </row>
    <row r="161" ht="13.5" thickTop="1">
      <c r="D161" s="313" t="s">
        <v>16</v>
      </c>
    </row>
    <row r="162" spans="3:6" ht="15">
      <c r="C162" s="251"/>
      <c r="F162" s="312" t="s">
        <v>188</v>
      </c>
    </row>
    <row r="163" spans="5:7" ht="12.75">
      <c r="E163" s="312"/>
      <c r="F163" s="312" t="s">
        <v>189</v>
      </c>
      <c r="G163" s="312">
        <f>G77</f>
        <v>800000</v>
      </c>
    </row>
    <row r="164" spans="5:7" ht="12.75">
      <c r="E164" s="312"/>
      <c r="F164" s="312" t="s">
        <v>187</v>
      </c>
      <c r="G164" s="312">
        <f>G148</f>
        <v>30000</v>
      </c>
    </row>
    <row r="166" ht="12.75">
      <c r="J166" s="303" t="s">
        <v>39</v>
      </c>
    </row>
    <row r="167" spans="7:10" ht="12.75">
      <c r="G167" s="362">
        <f>SUM(F160:G160)</f>
        <v>5648877</v>
      </c>
      <c r="J167" s="302">
        <f>SUM(G167)-E160</f>
        <v>0</v>
      </c>
    </row>
  </sheetData>
  <sheetProtection/>
  <mergeCells count="50">
    <mergeCell ref="A160:B160"/>
    <mergeCell ref="A149:A151"/>
    <mergeCell ref="B149:B151"/>
    <mergeCell ref="E149:E151"/>
    <mergeCell ref="F149:G149"/>
    <mergeCell ref="F150:F151"/>
    <mergeCell ref="G150:G151"/>
    <mergeCell ref="A129:A131"/>
    <mergeCell ref="B129:B131"/>
    <mergeCell ref="E129:E131"/>
    <mergeCell ref="F129:G129"/>
    <mergeCell ref="F130:F131"/>
    <mergeCell ref="G130:G131"/>
    <mergeCell ref="A115:A117"/>
    <mergeCell ref="B115:B117"/>
    <mergeCell ref="E115:E117"/>
    <mergeCell ref="F115:G115"/>
    <mergeCell ref="F116:F117"/>
    <mergeCell ref="G116:G117"/>
    <mergeCell ref="A93:A95"/>
    <mergeCell ref="B93:B95"/>
    <mergeCell ref="E93:E95"/>
    <mergeCell ref="F93:G93"/>
    <mergeCell ref="F94:F95"/>
    <mergeCell ref="G94:G95"/>
    <mergeCell ref="A67:A69"/>
    <mergeCell ref="B67:B69"/>
    <mergeCell ref="E67:E69"/>
    <mergeCell ref="F67:G67"/>
    <mergeCell ref="F68:F69"/>
    <mergeCell ref="G68:G69"/>
    <mergeCell ref="A34:A36"/>
    <mergeCell ref="B34:B36"/>
    <mergeCell ref="E34:E36"/>
    <mergeCell ref="F34:G34"/>
    <mergeCell ref="F35:F36"/>
    <mergeCell ref="G35:G36"/>
    <mergeCell ref="B10:B13"/>
    <mergeCell ref="E10:E13"/>
    <mergeCell ref="F10:F13"/>
    <mergeCell ref="B18:B19"/>
    <mergeCell ref="E18:E19"/>
    <mergeCell ref="F18:F19"/>
    <mergeCell ref="E2:G2"/>
    <mergeCell ref="A4:A6"/>
    <mergeCell ref="B4:B6"/>
    <mergeCell ref="E4:E6"/>
    <mergeCell ref="F4:G4"/>
    <mergeCell ref="F5:F6"/>
    <mergeCell ref="G5:G6"/>
  </mergeCells>
  <conditionalFormatting sqref="I1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{c3636415-9d5b-46df-9014-a769fea28391}</x14:id>
        </ext>
      </extLst>
    </cfRule>
  </conditionalFormatting>
  <conditionalFormatting sqref="A7:A4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{a568684c-a3d3-4b86-971c-e8cb1e612f9c}</x14:id>
        </ext>
      </extLst>
    </cfRule>
  </conditionalFormatting>
  <printOptions horizontalCentered="1"/>
  <pageMargins left="0.1968503937007874" right="0.1968503937007874" top="0.34" bottom="0.32" header="0.17" footer="0.1968503937007874"/>
  <pageSetup fitToHeight="2" horizontalDpi="600" verticalDpi="600" orientation="landscape" pageOrder="overThenDown" paperSize="9" scale="70" r:id="rId1"/>
  <headerFooter alignWithMargins="0"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636415-9d5b-46df-9014-a769fea283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</xm:sqref>
        </x14:conditionalFormatting>
        <x14:conditionalFormatting xmlns:xm="http://schemas.microsoft.com/office/excel/2006/main">
          <x14:cfRule type="dataBar" id="{a568684c-a3d3-4b86-971c-e8cb1e612f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134">
      <selection activeCell="F37" sqref="F37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G1" s="367" t="s">
        <v>194</v>
      </c>
    </row>
    <row r="2" spans="1:7" ht="18">
      <c r="A2" s="284"/>
      <c r="B2" s="364" t="s">
        <v>167</v>
      </c>
      <c r="E2" s="783" t="s">
        <v>195</v>
      </c>
      <c r="F2" s="784"/>
      <c r="G2" s="784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SUM(E8:E48)</f>
        <v>602610</v>
      </c>
      <c r="F7" s="377">
        <f>SUM(F8:F48)</f>
        <v>602610</v>
      </c>
      <c r="G7" s="377">
        <f>SUM(G8:G47)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305" customFormat="1" ht="20.25" customHeight="1">
      <c r="A15" s="320"/>
      <c r="B15" s="383" t="s">
        <v>126</v>
      </c>
      <c r="C15" s="379"/>
      <c r="D15" s="384"/>
      <c r="E15" s="381">
        <f>SUM(F15:G15)</f>
        <v>65000</v>
      </c>
      <c r="F15" s="382">
        <v>65000</v>
      </c>
      <c r="G15" s="393">
        <v>0</v>
      </c>
      <c r="H15" s="207"/>
      <c r="I15" s="200"/>
    </row>
    <row r="16" spans="1:9" s="305" customFormat="1" ht="20.25" customHeight="1">
      <c r="A16" s="320"/>
      <c r="B16" s="315" t="s">
        <v>127</v>
      </c>
      <c r="C16" s="316"/>
      <c r="D16" s="321"/>
      <c r="E16" s="318">
        <f>SUM(F16:G16)</f>
        <v>334000</v>
      </c>
      <c r="F16" s="319">
        <f>100000-1700-1700+300000-20000-40000-10000+7400</f>
        <v>334000</v>
      </c>
      <c r="G16" s="319">
        <f>300000-300000</f>
        <v>0</v>
      </c>
      <c r="H16" s="207"/>
      <c r="I16" s="200"/>
    </row>
    <row r="17" spans="1:9" s="305" customFormat="1" ht="16.5" customHeight="1" hidden="1">
      <c r="A17" s="320"/>
      <c r="B17" s="588" t="s">
        <v>79</v>
      </c>
      <c r="C17" s="316"/>
      <c r="D17" s="317"/>
      <c r="E17" s="318">
        <f>SUM(F17:G17)</f>
        <v>0</v>
      </c>
      <c r="F17" s="319">
        <v>0</v>
      </c>
      <c r="G17" s="319">
        <v>0</v>
      </c>
      <c r="H17" s="207"/>
      <c r="I17" s="200"/>
    </row>
    <row r="18" spans="1:9" s="305" customFormat="1" ht="11.25" customHeight="1" hidden="1">
      <c r="A18" s="320"/>
      <c r="B18" s="804" t="s">
        <v>80</v>
      </c>
      <c r="C18" s="316"/>
      <c r="D18" s="317"/>
      <c r="E18" s="806">
        <f>SUM(F18:G18)</f>
        <v>0</v>
      </c>
      <c r="F18" s="808">
        <v>0</v>
      </c>
      <c r="G18" s="589">
        <v>0</v>
      </c>
      <c r="H18" s="207"/>
      <c r="I18" s="200"/>
    </row>
    <row r="19" spans="1:9" s="305" customFormat="1" ht="10.5" customHeight="1" hidden="1">
      <c r="A19" s="320"/>
      <c r="B19" s="805"/>
      <c r="C19" s="316"/>
      <c r="D19" s="317"/>
      <c r="E19" s="807"/>
      <c r="F19" s="809"/>
      <c r="G19" s="590"/>
      <c r="H19" s="207"/>
      <c r="I19" s="200"/>
    </row>
    <row r="20" spans="1:9" s="305" customFormat="1" ht="16.5" customHeight="1" hidden="1">
      <c r="A20" s="320"/>
      <c r="B20" s="591" t="s">
        <v>74</v>
      </c>
      <c r="C20" s="316"/>
      <c r="D20" s="317"/>
      <c r="E20" s="318">
        <f>SUM(F20:G20)</f>
        <v>0</v>
      </c>
      <c r="F20" s="319">
        <v>0</v>
      </c>
      <c r="G20" s="351">
        <v>0</v>
      </c>
      <c r="H20" s="207"/>
      <c r="I20" s="200"/>
    </row>
    <row r="21" spans="1:9" s="305" customFormat="1" ht="14.25" customHeight="1" hidden="1">
      <c r="A21" s="323"/>
      <c r="B21" s="592" t="s">
        <v>75</v>
      </c>
      <c r="C21" s="316"/>
      <c r="D21" s="317"/>
      <c r="E21" s="318">
        <f aca="true" t="shared" si="0" ref="E21:E26">SUM(F21:G21)</f>
        <v>0</v>
      </c>
      <c r="F21" s="319">
        <v>0</v>
      </c>
      <c r="G21" s="319">
        <v>0</v>
      </c>
      <c r="H21" s="207"/>
      <c r="I21" s="200"/>
    </row>
    <row r="22" spans="1:9" s="305" customFormat="1" ht="16.5" customHeight="1" hidden="1">
      <c r="A22" s="323"/>
      <c r="B22" s="593" t="s">
        <v>81</v>
      </c>
      <c r="C22" s="316">
        <v>30000</v>
      </c>
      <c r="D22" s="321">
        <v>30000</v>
      </c>
      <c r="E22" s="318">
        <f t="shared" si="0"/>
        <v>0</v>
      </c>
      <c r="F22" s="319">
        <v>0</v>
      </c>
      <c r="G22" s="319">
        <v>0</v>
      </c>
      <c r="H22" s="207"/>
      <c r="I22" s="200"/>
    </row>
    <row r="23" spans="1:9" s="305" customFormat="1" ht="19.5" customHeight="1" hidden="1">
      <c r="A23" s="323"/>
      <c r="B23" s="594" t="s">
        <v>104</v>
      </c>
      <c r="C23" s="316">
        <v>83000</v>
      </c>
      <c r="D23" s="321">
        <v>83000</v>
      </c>
      <c r="E23" s="318">
        <f t="shared" si="0"/>
        <v>0</v>
      </c>
      <c r="F23" s="319">
        <v>0</v>
      </c>
      <c r="G23" s="319">
        <v>0</v>
      </c>
      <c r="H23" s="207"/>
      <c r="I23" s="200"/>
    </row>
    <row r="24" spans="1:9" s="305" customFormat="1" ht="16.5" customHeight="1" hidden="1">
      <c r="A24" s="323"/>
      <c r="B24" s="594" t="s">
        <v>76</v>
      </c>
      <c r="C24" s="316"/>
      <c r="D24" s="321"/>
      <c r="E24" s="318">
        <f t="shared" si="0"/>
        <v>0</v>
      </c>
      <c r="F24" s="316">
        <v>0</v>
      </c>
      <c r="G24" s="319">
        <v>0</v>
      </c>
      <c r="H24" s="207"/>
      <c r="I24" s="200"/>
    </row>
    <row r="25" spans="1:9" s="305" customFormat="1" ht="16.5" customHeight="1" hidden="1">
      <c r="A25" s="323"/>
      <c r="B25" s="595" t="s">
        <v>77</v>
      </c>
      <c r="C25" s="596"/>
      <c r="D25" s="597"/>
      <c r="E25" s="318">
        <f t="shared" si="0"/>
        <v>0</v>
      </c>
      <c r="F25" s="596">
        <v>0</v>
      </c>
      <c r="G25" s="589">
        <v>0</v>
      </c>
      <c r="H25" s="207"/>
      <c r="I25" s="200"/>
    </row>
    <row r="26" spans="1:9" s="305" customFormat="1" ht="15" hidden="1">
      <c r="A26" s="323"/>
      <c r="B26" s="594" t="s">
        <v>82</v>
      </c>
      <c r="C26" s="316"/>
      <c r="D26" s="321"/>
      <c r="E26" s="318">
        <f t="shared" si="0"/>
        <v>0</v>
      </c>
      <c r="F26" s="316">
        <v>0</v>
      </c>
      <c r="G26" s="319">
        <v>0</v>
      </c>
      <c r="H26" s="207"/>
      <c r="I26" s="200"/>
    </row>
    <row r="27" spans="1:9" s="305" customFormat="1" ht="27.75" customHeight="1" hidden="1">
      <c r="A27" s="323"/>
      <c r="B27" s="594" t="s">
        <v>50</v>
      </c>
      <c r="C27" s="330">
        <v>1000</v>
      </c>
      <c r="D27" s="598">
        <v>1000</v>
      </c>
      <c r="E27" s="599">
        <f>SUM(F27:G27)</f>
        <v>0</v>
      </c>
      <c r="F27" s="330">
        <v>0</v>
      </c>
      <c r="G27" s="351"/>
      <c r="H27" s="207"/>
      <c r="I27" s="200"/>
    </row>
    <row r="28" spans="1:9" s="305" customFormat="1" ht="16.5" customHeight="1" hidden="1">
      <c r="A28" s="323"/>
      <c r="B28" s="594" t="s">
        <v>78</v>
      </c>
      <c r="C28" s="316"/>
      <c r="D28" s="321"/>
      <c r="E28" s="318">
        <f>SUM(F28:G28)</f>
        <v>0</v>
      </c>
      <c r="F28" s="316">
        <v>0</v>
      </c>
      <c r="G28" s="319">
        <v>0</v>
      </c>
      <c r="H28" s="207"/>
      <c r="I28" s="200"/>
    </row>
    <row r="29" spans="1:7" ht="15.75" customHeight="1" hidden="1">
      <c r="A29" s="323"/>
      <c r="B29" s="600" t="s">
        <v>45</v>
      </c>
      <c r="C29" s="596"/>
      <c r="D29" s="597"/>
      <c r="E29" s="601">
        <f>SUM(F29:G29)</f>
        <v>0</v>
      </c>
      <c r="F29" s="596">
        <v>0</v>
      </c>
      <c r="G29" s="589">
        <v>0</v>
      </c>
    </row>
    <row r="30" spans="1:7" ht="20.25" customHeight="1">
      <c r="A30" s="323"/>
      <c r="B30" s="602" t="s">
        <v>57</v>
      </c>
      <c r="C30" s="603"/>
      <c r="D30" s="603"/>
      <c r="E30" s="338">
        <f>SUM(F30:G30)</f>
        <v>41054</v>
      </c>
      <c r="F30" s="603">
        <f>50000-1546-7400</f>
        <v>41054</v>
      </c>
      <c r="G30" s="319">
        <v>0</v>
      </c>
    </row>
    <row r="31" spans="1:7" ht="15" hidden="1">
      <c r="A31" s="323"/>
      <c r="B31" s="402"/>
      <c r="C31" s="403"/>
      <c r="D31" s="403"/>
      <c r="E31" s="404"/>
      <c r="F31" s="403"/>
      <c r="G31" s="405"/>
    </row>
    <row r="32" spans="1:7" ht="18" customHeight="1" hidden="1">
      <c r="A32" s="323"/>
      <c r="B32" s="402"/>
      <c r="C32" s="403"/>
      <c r="D32" s="403"/>
      <c r="E32" s="404"/>
      <c r="F32" s="403"/>
      <c r="G32" s="405"/>
    </row>
    <row r="33" spans="1:7" ht="15" hidden="1">
      <c r="A33" s="323"/>
      <c r="B33" s="402"/>
      <c r="C33" s="403"/>
      <c r="D33" s="403"/>
      <c r="E33" s="404"/>
      <c r="F33" s="403"/>
      <c r="G33" s="405"/>
    </row>
    <row r="34" spans="1:7" ht="12.75" customHeight="1" hidden="1">
      <c r="A34" s="747" t="s">
        <v>6</v>
      </c>
      <c r="B34" s="810" t="s">
        <v>7</v>
      </c>
      <c r="C34" s="406" t="s">
        <v>18</v>
      </c>
      <c r="D34" s="407" t="s">
        <v>8</v>
      </c>
      <c r="E34" s="813" t="s">
        <v>5</v>
      </c>
      <c r="F34" s="816" t="s">
        <v>19</v>
      </c>
      <c r="G34" s="817"/>
    </row>
    <row r="35" spans="1:7" ht="15.75" hidden="1">
      <c r="A35" s="777"/>
      <c r="B35" s="811"/>
      <c r="C35" s="408" t="s">
        <v>0</v>
      </c>
      <c r="D35" s="409" t="s">
        <v>14</v>
      </c>
      <c r="E35" s="814"/>
      <c r="F35" s="818" t="s">
        <v>13</v>
      </c>
      <c r="G35" s="820" t="s">
        <v>20</v>
      </c>
    </row>
    <row r="36" spans="1:7" ht="16.5" hidden="1" thickBot="1">
      <c r="A36" s="777"/>
      <c r="B36" s="812"/>
      <c r="C36" s="410"/>
      <c r="D36" s="411" t="s">
        <v>15</v>
      </c>
      <c r="E36" s="815"/>
      <c r="F36" s="819"/>
      <c r="G36" s="821"/>
    </row>
    <row r="37" spans="1:7" ht="15">
      <c r="A37" s="325"/>
      <c r="B37" s="412" t="s">
        <v>128</v>
      </c>
      <c r="C37" s="379"/>
      <c r="D37" s="380"/>
      <c r="E37" s="381">
        <f>SUM(F37:G37)</f>
        <v>66900</v>
      </c>
      <c r="F37" s="379">
        <v>66900</v>
      </c>
      <c r="G37" s="382">
        <v>0</v>
      </c>
    </row>
    <row r="38" spans="1:7" ht="19.5" customHeight="1">
      <c r="A38" s="323"/>
      <c r="B38" s="412" t="s">
        <v>175</v>
      </c>
      <c r="C38" s="379"/>
      <c r="D38" s="380"/>
      <c r="E38" s="381">
        <f aca="true" t="shared" si="1" ref="E38:E43">SUM(F38:G38)</f>
        <v>14056</v>
      </c>
      <c r="F38" s="379">
        <f>12510+1546</f>
        <v>14056</v>
      </c>
      <c r="G38" s="382">
        <v>0</v>
      </c>
    </row>
    <row r="39" spans="1:7" ht="15" customHeight="1" hidden="1">
      <c r="A39" s="323"/>
      <c r="B39" s="412" t="s">
        <v>83</v>
      </c>
      <c r="C39" s="379"/>
      <c r="D39" s="380"/>
      <c r="E39" s="381">
        <f t="shared" si="1"/>
        <v>0</v>
      </c>
      <c r="F39" s="379">
        <v>0</v>
      </c>
      <c r="G39" s="382">
        <v>0</v>
      </c>
    </row>
    <row r="40" spans="1:7" ht="15" customHeight="1" hidden="1">
      <c r="A40" s="323"/>
      <c r="B40" s="413" t="s">
        <v>84</v>
      </c>
      <c r="C40" s="379"/>
      <c r="D40" s="380"/>
      <c r="E40" s="381">
        <f t="shared" si="1"/>
        <v>0</v>
      </c>
      <c r="F40" s="379">
        <v>0</v>
      </c>
      <c r="G40" s="382"/>
    </row>
    <row r="41" spans="1:7" ht="15.75" customHeight="1" hidden="1">
      <c r="A41" s="326"/>
      <c r="B41" s="414" t="s">
        <v>98</v>
      </c>
      <c r="C41" s="379">
        <v>44900</v>
      </c>
      <c r="D41" s="380">
        <v>44900</v>
      </c>
      <c r="E41" s="381">
        <f t="shared" si="1"/>
        <v>0</v>
      </c>
      <c r="F41" s="379">
        <v>0</v>
      </c>
      <c r="G41" s="382">
        <v>0</v>
      </c>
    </row>
    <row r="42" spans="1:7" ht="13.5" customHeight="1" hidden="1">
      <c r="A42" s="320"/>
      <c r="B42" s="415" t="s">
        <v>1</v>
      </c>
      <c r="C42" s="379"/>
      <c r="D42" s="380"/>
      <c r="E42" s="381">
        <f t="shared" si="1"/>
        <v>0</v>
      </c>
      <c r="F42" s="379">
        <v>0</v>
      </c>
      <c r="G42" s="382">
        <v>0</v>
      </c>
    </row>
    <row r="43" spans="1:7" ht="13.5" customHeight="1" hidden="1">
      <c r="A43" s="327"/>
      <c r="B43" s="416" t="s">
        <v>2</v>
      </c>
      <c r="C43" s="379"/>
      <c r="D43" s="380"/>
      <c r="E43" s="400">
        <f t="shared" si="1"/>
        <v>0</v>
      </c>
      <c r="F43" s="396">
        <v>0</v>
      </c>
      <c r="G43" s="387"/>
    </row>
    <row r="44" spans="1:8" ht="15" customHeight="1" hidden="1">
      <c r="A44" s="215" t="s">
        <v>43</v>
      </c>
      <c r="B44" s="417" t="s">
        <v>71</v>
      </c>
      <c r="C44" s="403"/>
      <c r="D44" s="418"/>
      <c r="E44" s="381">
        <f>SUM(F44:G44)</f>
        <v>0</v>
      </c>
      <c r="F44" s="379">
        <v>0</v>
      </c>
      <c r="G44" s="419">
        <v>0</v>
      </c>
      <c r="H44" s="313" t="s">
        <v>72</v>
      </c>
    </row>
    <row r="45" spans="1:7" ht="16.5" customHeight="1" hidden="1">
      <c r="A45" s="320"/>
      <c r="B45" s="420"/>
      <c r="C45" s="403"/>
      <c r="D45" s="418"/>
      <c r="E45" s="418"/>
      <c r="F45" s="403"/>
      <c r="G45" s="405"/>
    </row>
    <row r="46" spans="1:7" ht="15.75" customHeight="1" hidden="1">
      <c r="A46" s="328"/>
      <c r="B46" s="421" t="s">
        <v>51</v>
      </c>
      <c r="C46" s="403"/>
      <c r="D46" s="418"/>
      <c r="E46" s="422">
        <f>SUM(F46:G46)</f>
        <v>0</v>
      </c>
      <c r="F46" s="423">
        <v>0</v>
      </c>
      <c r="G46" s="424">
        <v>0</v>
      </c>
    </row>
    <row r="47" spans="1:7" ht="15.75" customHeight="1" hidden="1">
      <c r="A47" s="328"/>
      <c r="B47" s="421" t="s">
        <v>52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ht="15.75" thickBot="1">
      <c r="A48" s="328"/>
      <c r="B48" s="425" t="s">
        <v>176</v>
      </c>
      <c r="C48" s="403"/>
      <c r="D48" s="418"/>
      <c r="E48" s="381">
        <f>SUM(F48:G48)</f>
        <v>34000</v>
      </c>
      <c r="F48" s="379">
        <v>34000</v>
      </c>
      <c r="G48" s="382">
        <v>0</v>
      </c>
    </row>
    <row r="49" spans="1:7" ht="18" customHeight="1" thickBot="1">
      <c r="A49" s="186" t="s">
        <v>11</v>
      </c>
      <c r="B49" s="426"/>
      <c r="C49" s="427"/>
      <c r="D49" s="428"/>
      <c r="E49" s="429">
        <f>SUM(E50:E70)+E72+E77</f>
        <v>2380438</v>
      </c>
      <c r="F49" s="429">
        <f>SUM(F50:F70)+F72+F77</f>
        <v>1580438</v>
      </c>
      <c r="G49" s="429">
        <f>SUM(G50:G70)+G72+G77</f>
        <v>800000</v>
      </c>
    </row>
    <row r="50" spans="1:7" ht="32.25" customHeight="1">
      <c r="A50" s="181" t="s">
        <v>3</v>
      </c>
      <c r="B50" s="430" t="s">
        <v>114</v>
      </c>
      <c r="C50" s="397"/>
      <c r="D50" s="431"/>
      <c r="E50" s="432">
        <f aca="true" t="shared" si="2" ref="E50:E66">SUM(F50:G50)</f>
        <v>500000</v>
      </c>
      <c r="F50" s="432">
        <f>0+500000</f>
        <v>500000</v>
      </c>
      <c r="G50" s="433">
        <f>500000-500000</f>
        <v>0</v>
      </c>
    </row>
    <row r="51" spans="1:7" ht="33.75" customHeight="1">
      <c r="A51" s="217"/>
      <c r="B51" s="434" t="s">
        <v>168</v>
      </c>
      <c r="C51" s="435"/>
      <c r="D51" s="435"/>
      <c r="E51" s="401">
        <f t="shared" si="2"/>
        <v>10488</v>
      </c>
      <c r="F51" s="435">
        <v>10488</v>
      </c>
      <c r="G51" s="382">
        <v>0</v>
      </c>
    </row>
    <row r="52" spans="1:7" ht="32.25" customHeight="1" thickBot="1">
      <c r="A52" s="218"/>
      <c r="B52" s="436" t="s">
        <v>184</v>
      </c>
      <c r="C52" s="437">
        <v>15000</v>
      </c>
      <c r="D52" s="438">
        <v>15000</v>
      </c>
      <c r="E52" s="439">
        <f t="shared" si="2"/>
        <v>50000</v>
      </c>
      <c r="F52" s="439">
        <v>50000</v>
      </c>
      <c r="G52" s="440">
        <v>0</v>
      </c>
    </row>
    <row r="53" spans="1:8" ht="15.75" customHeight="1">
      <c r="A53" s="219" t="s">
        <v>44</v>
      </c>
      <c r="B53" s="441" t="s">
        <v>129</v>
      </c>
      <c r="C53" s="397">
        <v>15000</v>
      </c>
      <c r="D53" s="398">
        <v>15000</v>
      </c>
      <c r="E53" s="399">
        <f t="shared" si="2"/>
        <v>50000</v>
      </c>
      <c r="F53" s="442">
        <v>50000</v>
      </c>
      <c r="G53" s="443">
        <v>0</v>
      </c>
      <c r="H53" s="335"/>
    </row>
    <row r="54" spans="1:8" ht="15" customHeight="1">
      <c r="A54" s="221"/>
      <c r="B54" s="413" t="s">
        <v>130</v>
      </c>
      <c r="C54" s="379"/>
      <c r="D54" s="380"/>
      <c r="E54" s="381">
        <f t="shared" si="2"/>
        <v>10000</v>
      </c>
      <c r="F54" s="444">
        <v>10000</v>
      </c>
      <c r="G54" s="445">
        <v>0</v>
      </c>
      <c r="H54" s="313" t="s">
        <v>131</v>
      </c>
    </row>
    <row r="55" spans="1:8" ht="16.5" customHeight="1">
      <c r="A55" s="222"/>
      <c r="B55" s="394" t="s">
        <v>132</v>
      </c>
      <c r="C55" s="379"/>
      <c r="D55" s="380"/>
      <c r="E55" s="381">
        <f t="shared" si="2"/>
        <v>40000</v>
      </c>
      <c r="F55" s="444">
        <v>40000</v>
      </c>
      <c r="G55" s="445">
        <v>0</v>
      </c>
      <c r="H55" s="313" t="s">
        <v>133</v>
      </c>
    </row>
    <row r="56" spans="1:8" ht="18" customHeight="1">
      <c r="A56" s="222"/>
      <c r="B56" s="394" t="s">
        <v>68</v>
      </c>
      <c r="C56" s="379"/>
      <c r="D56" s="380"/>
      <c r="E56" s="381">
        <f t="shared" si="2"/>
        <v>14000</v>
      </c>
      <c r="F56" s="444">
        <v>14000</v>
      </c>
      <c r="G56" s="445">
        <v>0</v>
      </c>
      <c r="H56" s="313" t="s">
        <v>134</v>
      </c>
    </row>
    <row r="57" spans="1:8" ht="16.5" customHeight="1">
      <c r="A57" s="222"/>
      <c r="B57" s="378" t="s">
        <v>149</v>
      </c>
      <c r="C57" s="435"/>
      <c r="D57" s="435"/>
      <c r="E57" s="401">
        <f t="shared" si="2"/>
        <v>66000</v>
      </c>
      <c r="F57" s="435">
        <v>66000</v>
      </c>
      <c r="G57" s="382">
        <v>0</v>
      </c>
      <c r="H57" s="313" t="s">
        <v>135</v>
      </c>
    </row>
    <row r="58" spans="1:7" ht="18" customHeight="1">
      <c r="A58" s="223"/>
      <c r="B58" s="434" t="s">
        <v>123</v>
      </c>
      <c r="C58" s="435"/>
      <c r="D58" s="435"/>
      <c r="E58" s="401">
        <f t="shared" si="2"/>
        <v>25000</v>
      </c>
      <c r="F58" s="435">
        <v>25000</v>
      </c>
      <c r="G58" s="382">
        <v>0</v>
      </c>
    </row>
    <row r="59" spans="1:7" ht="16.5" customHeight="1">
      <c r="A59" s="223"/>
      <c r="B59" s="434" t="s">
        <v>115</v>
      </c>
      <c r="C59" s="435"/>
      <c r="D59" s="435"/>
      <c r="E59" s="401">
        <f t="shared" si="2"/>
        <v>15000</v>
      </c>
      <c r="F59" s="435">
        <v>15000</v>
      </c>
      <c r="G59" s="382">
        <v>0</v>
      </c>
    </row>
    <row r="60" spans="1:7" ht="16.5" customHeight="1">
      <c r="A60" s="223"/>
      <c r="B60" s="434" t="s">
        <v>182</v>
      </c>
      <c r="C60" s="435"/>
      <c r="D60" s="435"/>
      <c r="E60" s="401">
        <f>SUM(F60:G60)</f>
        <v>381000</v>
      </c>
      <c r="F60" s="435">
        <v>381000</v>
      </c>
      <c r="G60" s="382">
        <v>0</v>
      </c>
    </row>
    <row r="61" spans="1:8" ht="16.5" customHeight="1">
      <c r="A61" s="223"/>
      <c r="B61" s="434" t="s">
        <v>124</v>
      </c>
      <c r="C61" s="435">
        <v>12500</v>
      </c>
      <c r="D61" s="435">
        <v>12500</v>
      </c>
      <c r="E61" s="401">
        <f t="shared" si="2"/>
        <v>0</v>
      </c>
      <c r="F61" s="435">
        <v>0</v>
      </c>
      <c r="G61" s="382">
        <v>0</v>
      </c>
      <c r="H61" s="313" t="s">
        <v>70</v>
      </c>
    </row>
    <row r="62" spans="1:7" ht="16.5" customHeight="1">
      <c r="A62" s="223"/>
      <c r="B62" s="434" t="s">
        <v>180</v>
      </c>
      <c r="C62" s="435"/>
      <c r="D62" s="435"/>
      <c r="E62" s="401">
        <f t="shared" si="2"/>
        <v>3950</v>
      </c>
      <c r="F62" s="435">
        <v>3950</v>
      </c>
      <c r="G62" s="382"/>
    </row>
    <row r="63" spans="1:7" ht="16.5" customHeight="1">
      <c r="A63" s="223"/>
      <c r="B63" s="434" t="s">
        <v>181</v>
      </c>
      <c r="C63" s="435"/>
      <c r="D63" s="435"/>
      <c r="E63" s="401">
        <f t="shared" si="2"/>
        <v>0</v>
      </c>
      <c r="F63" s="435">
        <f>3050-3050</f>
        <v>0</v>
      </c>
      <c r="G63" s="382"/>
    </row>
    <row r="64" spans="1:7" ht="18" customHeight="1">
      <c r="A64" s="223"/>
      <c r="B64" s="434" t="s">
        <v>136</v>
      </c>
      <c r="C64" s="435">
        <v>12500</v>
      </c>
      <c r="D64" s="435">
        <v>12500</v>
      </c>
      <c r="E64" s="401">
        <f t="shared" si="2"/>
        <v>0</v>
      </c>
      <c r="F64" s="435">
        <f>105000-105000</f>
        <v>0</v>
      </c>
      <c r="G64" s="382">
        <v>0</v>
      </c>
    </row>
    <row r="65" spans="1:7" ht="17.25" customHeight="1">
      <c r="A65" s="223"/>
      <c r="B65" s="434" t="s">
        <v>170</v>
      </c>
      <c r="C65" s="435"/>
      <c r="D65" s="435"/>
      <c r="E65" s="401">
        <f t="shared" si="2"/>
        <v>350000</v>
      </c>
      <c r="F65" s="435">
        <v>350000</v>
      </c>
      <c r="G65" s="382">
        <v>0</v>
      </c>
    </row>
    <row r="66" spans="1:7" ht="16.5" customHeight="1">
      <c r="A66" s="223"/>
      <c r="B66" s="434" t="s">
        <v>171</v>
      </c>
      <c r="C66" s="435"/>
      <c r="D66" s="435"/>
      <c r="E66" s="401">
        <f t="shared" si="2"/>
        <v>0</v>
      </c>
      <c r="F66" s="435">
        <f>160000-160000</f>
        <v>0</v>
      </c>
      <c r="G66" s="382">
        <v>0</v>
      </c>
    </row>
    <row r="67" spans="1:7" ht="16.5" customHeight="1" hidden="1">
      <c r="A67" s="754" t="s">
        <v>6</v>
      </c>
      <c r="B67" s="822" t="s">
        <v>7</v>
      </c>
      <c r="C67" s="446" t="s">
        <v>18</v>
      </c>
      <c r="D67" s="446" t="s">
        <v>8</v>
      </c>
      <c r="E67" s="824" t="s">
        <v>47</v>
      </c>
      <c r="F67" s="826" t="s">
        <v>19</v>
      </c>
      <c r="G67" s="827"/>
    </row>
    <row r="68" spans="1:7" ht="16.5" customHeight="1" hidden="1">
      <c r="A68" s="777"/>
      <c r="B68" s="823"/>
      <c r="C68" s="446" t="s">
        <v>0</v>
      </c>
      <c r="D68" s="446" t="s">
        <v>14</v>
      </c>
      <c r="E68" s="825"/>
      <c r="F68" s="828" t="s">
        <v>13</v>
      </c>
      <c r="G68" s="829" t="s">
        <v>20</v>
      </c>
    </row>
    <row r="69" spans="1:7" ht="16.5" customHeight="1" hidden="1">
      <c r="A69" s="778"/>
      <c r="B69" s="823"/>
      <c r="C69" s="446"/>
      <c r="D69" s="446" t="s">
        <v>15</v>
      </c>
      <c r="E69" s="825"/>
      <c r="F69" s="825"/>
      <c r="G69" s="830"/>
    </row>
    <row r="70" spans="1:7" ht="16.5" customHeight="1" hidden="1">
      <c r="A70" s="325"/>
      <c r="B70" s="447" t="s">
        <v>105</v>
      </c>
      <c r="C70" s="448"/>
      <c r="D70" s="448"/>
      <c r="E70" s="449">
        <f>SUM(F70:G70)</f>
        <v>0</v>
      </c>
      <c r="F70" s="448">
        <v>0</v>
      </c>
      <c r="G70" s="450"/>
    </row>
    <row r="71" ht="19.5" customHeight="1" hidden="1">
      <c r="A71" s="223"/>
    </row>
    <row r="72" spans="1:7" ht="39.75" customHeight="1" hidden="1">
      <c r="A72" s="182" t="s">
        <v>29</v>
      </c>
      <c r="B72" s="415" t="s">
        <v>34</v>
      </c>
      <c r="C72" s="452"/>
      <c r="D72" s="453"/>
      <c r="E72" s="442">
        <f>SUM(F72:G72)</f>
        <v>0</v>
      </c>
      <c r="F72" s="443">
        <f>SUM(F73:F76)</f>
        <v>0</v>
      </c>
      <c r="G72" s="443">
        <v>0</v>
      </c>
    </row>
    <row r="73" spans="1:7" ht="16.5" customHeight="1" hidden="1">
      <c r="A73" s="224"/>
      <c r="B73" s="454" t="s">
        <v>30</v>
      </c>
      <c r="C73" s="455"/>
      <c r="D73" s="456"/>
      <c r="E73" s="457"/>
      <c r="F73" s="458">
        <v>0</v>
      </c>
      <c r="G73" s="458">
        <v>0</v>
      </c>
    </row>
    <row r="74" spans="1:7" ht="16.5" customHeight="1" hidden="1">
      <c r="A74" s="208"/>
      <c r="B74" s="459" t="s">
        <v>31</v>
      </c>
      <c r="C74" s="460"/>
      <c r="D74" s="461"/>
      <c r="E74" s="462"/>
      <c r="F74" s="463">
        <v>0</v>
      </c>
      <c r="G74" s="463">
        <v>0</v>
      </c>
    </row>
    <row r="75" spans="1:7" ht="16.5" customHeight="1" hidden="1">
      <c r="A75" s="208"/>
      <c r="B75" s="459" t="s">
        <v>32</v>
      </c>
      <c r="C75" s="460"/>
      <c r="D75" s="461"/>
      <c r="E75" s="462"/>
      <c r="F75" s="463">
        <v>0</v>
      </c>
      <c r="G75" s="463">
        <v>0</v>
      </c>
    </row>
    <row r="76" spans="1:7" ht="16.5" customHeight="1" hidden="1">
      <c r="A76" s="225"/>
      <c r="B76" s="464" t="s">
        <v>33</v>
      </c>
      <c r="C76" s="465"/>
      <c r="D76" s="466"/>
      <c r="E76" s="467"/>
      <c r="F76" s="468">
        <v>0</v>
      </c>
      <c r="G76" s="468">
        <v>0</v>
      </c>
    </row>
    <row r="77" spans="1:7" ht="16.5" customHeight="1" thickBot="1">
      <c r="A77" s="225"/>
      <c r="B77" s="434" t="s">
        <v>177</v>
      </c>
      <c r="C77" s="435"/>
      <c r="D77" s="435"/>
      <c r="E77" s="401">
        <f aca="true" t="shared" si="3" ref="E77:E84">SUM(F77:G77)</f>
        <v>865000</v>
      </c>
      <c r="F77" s="435">
        <f>865000-800000</f>
        <v>65000</v>
      </c>
      <c r="G77" s="382">
        <f>0+800000</f>
        <v>800000</v>
      </c>
    </row>
    <row r="78" spans="1:7" ht="16.5" customHeight="1" thickBot="1">
      <c r="A78" s="185" t="s">
        <v>137</v>
      </c>
      <c r="B78" s="469"/>
      <c r="C78" s="470"/>
      <c r="D78" s="471"/>
      <c r="E78" s="472">
        <f t="shared" si="3"/>
        <v>35000</v>
      </c>
      <c r="F78" s="473">
        <f>SUM(F79:F80)</f>
        <v>35000</v>
      </c>
      <c r="G78" s="474">
        <f>SUM(G79:G81)</f>
        <v>0</v>
      </c>
    </row>
    <row r="79" spans="1:7" ht="30" customHeight="1" thickBot="1">
      <c r="A79" s="225" t="s">
        <v>138</v>
      </c>
      <c r="B79" s="425" t="s">
        <v>139</v>
      </c>
      <c r="C79" s="465"/>
      <c r="D79" s="466"/>
      <c r="E79" s="399">
        <f t="shared" si="3"/>
        <v>15000</v>
      </c>
      <c r="F79" s="475">
        <v>15000</v>
      </c>
      <c r="G79" s="424">
        <v>0</v>
      </c>
    </row>
    <row r="80" spans="1:7" ht="19.5" customHeight="1" thickBot="1">
      <c r="A80" s="229"/>
      <c r="B80" s="425" t="s">
        <v>140</v>
      </c>
      <c r="C80" s="465"/>
      <c r="D80" s="466"/>
      <c r="E80" s="399">
        <f t="shared" si="3"/>
        <v>20000</v>
      </c>
      <c r="F80" s="475">
        <v>20000</v>
      </c>
      <c r="G80" s="424">
        <v>0</v>
      </c>
    </row>
    <row r="81" spans="1:7" ht="15.75" customHeight="1" thickBot="1">
      <c r="A81" s="185" t="s">
        <v>36</v>
      </c>
      <c r="B81" s="476"/>
      <c r="C81" s="477"/>
      <c r="D81" s="477"/>
      <c r="E81" s="478">
        <f t="shared" si="3"/>
        <v>35100</v>
      </c>
      <c r="F81" s="479">
        <f>SUM(F82:F84)</f>
        <v>35100</v>
      </c>
      <c r="G81" s="479">
        <f>SUM(G82:G96)</f>
        <v>0</v>
      </c>
    </row>
    <row r="82" spans="1:7" ht="17.25" customHeight="1" thickBot="1">
      <c r="A82" s="2" t="s">
        <v>4</v>
      </c>
      <c r="B82" s="480" t="s">
        <v>169</v>
      </c>
      <c r="C82" s="481"/>
      <c r="D82" s="482"/>
      <c r="E82" s="483">
        <f t="shared" si="3"/>
        <v>5100</v>
      </c>
      <c r="F82" s="484">
        <v>5100</v>
      </c>
      <c r="G82" s="485">
        <v>0</v>
      </c>
    </row>
    <row r="83" spans="1:7" ht="15" customHeight="1" thickBot="1">
      <c r="A83" s="177"/>
      <c r="B83" s="480" t="s">
        <v>172</v>
      </c>
      <c r="C83" s="481"/>
      <c r="D83" s="482"/>
      <c r="E83" s="483">
        <f t="shared" si="3"/>
        <v>20000</v>
      </c>
      <c r="F83" s="484">
        <f>45000-25000</f>
        <v>20000</v>
      </c>
      <c r="G83" s="485">
        <v>0</v>
      </c>
    </row>
    <row r="84" spans="1:7" ht="22.5" customHeight="1" thickBot="1">
      <c r="A84" s="182" t="s">
        <v>106</v>
      </c>
      <c r="B84" s="486" t="s">
        <v>125</v>
      </c>
      <c r="C84" s="481"/>
      <c r="D84" s="482"/>
      <c r="E84" s="487">
        <f t="shared" si="3"/>
        <v>10000</v>
      </c>
      <c r="F84" s="488">
        <v>10000</v>
      </c>
      <c r="G84" s="485">
        <v>0</v>
      </c>
    </row>
    <row r="85" spans="1:7" ht="15" customHeight="1" hidden="1">
      <c r="A85" s="177"/>
      <c r="B85" s="489"/>
      <c r="C85" s="490"/>
      <c r="D85" s="490"/>
      <c r="E85" s="491"/>
      <c r="F85" s="492"/>
      <c r="G85" s="463"/>
    </row>
    <row r="86" spans="1:7" ht="15" customHeight="1" hidden="1">
      <c r="A86" s="177"/>
      <c r="B86" s="489"/>
      <c r="C86" s="490"/>
      <c r="D86" s="490"/>
      <c r="E86" s="491"/>
      <c r="F86" s="492"/>
      <c r="G86" s="463"/>
    </row>
    <row r="87" spans="1:7" ht="26.25" customHeight="1" thickBot="1">
      <c r="A87" s="185" t="s">
        <v>66</v>
      </c>
      <c r="B87" s="476"/>
      <c r="C87" s="477"/>
      <c r="D87" s="477"/>
      <c r="E87" s="478">
        <f aca="true" t="shared" si="4" ref="E87:E92">SUM(F87:G87)</f>
        <v>60000</v>
      </c>
      <c r="F87" s="479">
        <f>SUM(F88:F89)</f>
        <v>60000</v>
      </c>
      <c r="G87" s="479">
        <f>SUM(G88:G98)</f>
        <v>0</v>
      </c>
    </row>
    <row r="88" spans="1:7" ht="31.5" customHeight="1" hidden="1">
      <c r="A88" s="183" t="s">
        <v>48</v>
      </c>
      <c r="B88" s="493" t="s">
        <v>49</v>
      </c>
      <c r="C88" s="437"/>
      <c r="D88" s="438"/>
      <c r="E88" s="494">
        <f t="shared" si="4"/>
        <v>0</v>
      </c>
      <c r="F88" s="437">
        <v>0</v>
      </c>
      <c r="G88" s="495">
        <v>0</v>
      </c>
    </row>
    <row r="89" spans="1:8" ht="15.75" thickBot="1">
      <c r="A89" s="183" t="s">
        <v>65</v>
      </c>
      <c r="B89" s="493" t="s">
        <v>173</v>
      </c>
      <c r="C89" s="437"/>
      <c r="D89" s="438"/>
      <c r="E89" s="494">
        <f t="shared" si="4"/>
        <v>60000</v>
      </c>
      <c r="F89" s="437">
        <f>35000+25000</f>
        <v>60000</v>
      </c>
      <c r="G89" s="495">
        <v>0</v>
      </c>
      <c r="H89" s="313" t="s">
        <v>109</v>
      </c>
    </row>
    <row r="90" spans="1:7" ht="14.25" customHeight="1" thickBot="1">
      <c r="A90" s="185" t="s">
        <v>60</v>
      </c>
      <c r="B90" s="469"/>
      <c r="C90" s="470"/>
      <c r="D90" s="471"/>
      <c r="E90" s="472">
        <f t="shared" si="4"/>
        <v>342</v>
      </c>
      <c r="F90" s="473">
        <f>SUM(F91)</f>
        <v>342</v>
      </c>
      <c r="G90" s="474">
        <f>SUM(G91:G92)</f>
        <v>0</v>
      </c>
    </row>
    <row r="91" spans="1:7" ht="16.5" customHeight="1" thickBot="1">
      <c r="A91" s="229" t="s">
        <v>61</v>
      </c>
      <c r="B91" s="425" t="s">
        <v>62</v>
      </c>
      <c r="C91" s="465"/>
      <c r="D91" s="466"/>
      <c r="E91" s="399">
        <f t="shared" si="4"/>
        <v>342</v>
      </c>
      <c r="F91" s="475">
        <v>342</v>
      </c>
      <c r="G91" s="424">
        <v>0</v>
      </c>
    </row>
    <row r="92" spans="1:7" ht="28.5" customHeight="1" hidden="1">
      <c r="A92" s="183" t="s">
        <v>48</v>
      </c>
      <c r="B92" s="493" t="s">
        <v>49</v>
      </c>
      <c r="C92" s="437"/>
      <c r="D92" s="438"/>
      <c r="E92" s="494">
        <f t="shared" si="4"/>
        <v>0</v>
      </c>
      <c r="F92" s="437">
        <v>0</v>
      </c>
      <c r="G92" s="495">
        <v>0</v>
      </c>
    </row>
    <row r="93" spans="1:7" ht="12.75" customHeight="1" hidden="1">
      <c r="A93" s="751" t="s">
        <v>6</v>
      </c>
      <c r="B93" s="785" t="s">
        <v>7</v>
      </c>
      <c r="C93" s="406" t="s">
        <v>18</v>
      </c>
      <c r="D93" s="407" t="s">
        <v>8</v>
      </c>
      <c r="E93" s="787" t="s">
        <v>96</v>
      </c>
      <c r="F93" s="834" t="s">
        <v>19</v>
      </c>
      <c r="G93" s="835"/>
    </row>
    <row r="94" spans="1:7" ht="12.75" customHeight="1" hidden="1">
      <c r="A94" s="779"/>
      <c r="B94" s="831"/>
      <c r="C94" s="408" t="s">
        <v>0</v>
      </c>
      <c r="D94" s="409" t="s">
        <v>14</v>
      </c>
      <c r="E94" s="788"/>
      <c r="F94" s="836" t="s">
        <v>54</v>
      </c>
      <c r="G94" s="838" t="s">
        <v>55</v>
      </c>
    </row>
    <row r="95" spans="1:7" ht="10.5" customHeight="1" hidden="1">
      <c r="A95" s="780"/>
      <c r="B95" s="832"/>
      <c r="C95" s="410"/>
      <c r="D95" s="411" t="s">
        <v>15</v>
      </c>
      <c r="E95" s="833"/>
      <c r="F95" s="837"/>
      <c r="G95" s="839"/>
    </row>
    <row r="96" spans="1:7" ht="20.25" customHeight="1" hidden="1">
      <c r="A96" s="188"/>
      <c r="B96" s="496" t="s">
        <v>38</v>
      </c>
      <c r="C96" s="460"/>
      <c r="D96" s="461"/>
      <c r="E96" s="483">
        <f aca="true" t="shared" si="5" ref="E96:E114">SUM(F96:G96)</f>
        <v>0</v>
      </c>
      <c r="F96" s="484">
        <v>0</v>
      </c>
      <c r="G96" s="485">
        <v>0</v>
      </c>
    </row>
    <row r="97" spans="1:9" s="304" customFormat="1" ht="16.5" customHeight="1" thickBot="1">
      <c r="A97" s="185" t="s">
        <v>12</v>
      </c>
      <c r="B97" s="497"/>
      <c r="C97" s="498">
        <v>12500</v>
      </c>
      <c r="D97" s="499">
        <v>12500</v>
      </c>
      <c r="E97" s="472">
        <f t="shared" si="5"/>
        <v>2058387</v>
      </c>
      <c r="F97" s="500">
        <f>SUM(F98:F108)+F109</f>
        <v>2058387</v>
      </c>
      <c r="G97" s="474">
        <f>SUM(G98:G102)</f>
        <v>0</v>
      </c>
      <c r="H97" s="207"/>
      <c r="I97" s="207"/>
    </row>
    <row r="98" spans="1:9" s="304" customFormat="1" ht="18.75" customHeight="1">
      <c r="A98" s="293" t="s">
        <v>26</v>
      </c>
      <c r="B98" s="416" t="s">
        <v>101</v>
      </c>
      <c r="C98" s="501"/>
      <c r="D98" s="502"/>
      <c r="E98" s="381">
        <f t="shared" si="5"/>
        <v>550000</v>
      </c>
      <c r="F98" s="503">
        <v>550000</v>
      </c>
      <c r="G98" s="445">
        <v>0</v>
      </c>
      <c r="H98" s="207"/>
      <c r="I98" s="207"/>
    </row>
    <row r="99" spans="1:9" s="304" customFormat="1" ht="21" customHeight="1">
      <c r="A99" s="294"/>
      <c r="B99" s="416" t="s">
        <v>112</v>
      </c>
      <c r="C99" s="501"/>
      <c r="D99" s="502"/>
      <c r="E99" s="381">
        <f t="shared" si="5"/>
        <v>1245687</v>
      </c>
      <c r="F99" s="503">
        <f>1205687+40000</f>
        <v>1245687</v>
      </c>
      <c r="G99" s="445">
        <v>0</v>
      </c>
      <c r="H99" s="207"/>
      <c r="I99" s="207"/>
    </row>
    <row r="100" spans="1:9" s="304" customFormat="1" ht="19.5" customHeight="1">
      <c r="A100" s="295"/>
      <c r="B100" s="415" t="s">
        <v>92</v>
      </c>
      <c r="C100" s="504">
        <v>47000</v>
      </c>
      <c r="D100" s="505">
        <v>47000</v>
      </c>
      <c r="E100" s="399">
        <f t="shared" si="5"/>
        <v>10000</v>
      </c>
      <c r="F100" s="506">
        <v>10000</v>
      </c>
      <c r="G100" s="443">
        <v>0</v>
      </c>
      <c r="H100" s="207"/>
      <c r="I100" s="207"/>
    </row>
    <row r="101" spans="1:9" s="304" customFormat="1" ht="18" customHeight="1" thickBot="1">
      <c r="A101" s="296"/>
      <c r="B101" s="507" t="s">
        <v>122</v>
      </c>
      <c r="C101" s="508"/>
      <c r="D101" s="508"/>
      <c r="E101" s="399">
        <f t="shared" si="5"/>
        <v>7000</v>
      </c>
      <c r="F101" s="506">
        <v>7000</v>
      </c>
      <c r="G101" s="443"/>
      <c r="H101" s="207"/>
      <c r="I101" s="207"/>
    </row>
    <row r="102" spans="1:9" s="304" customFormat="1" ht="17.25" customHeight="1">
      <c r="A102" s="259" t="s">
        <v>27</v>
      </c>
      <c r="B102" s="415" t="s">
        <v>174</v>
      </c>
      <c r="C102" s="501"/>
      <c r="D102" s="502"/>
      <c r="E102" s="444">
        <f t="shared" si="5"/>
        <v>240000</v>
      </c>
      <c r="F102" s="503">
        <f>210000+30000</f>
        <v>240000</v>
      </c>
      <c r="G102" s="445">
        <v>0</v>
      </c>
      <c r="H102" s="207"/>
      <c r="I102" s="207"/>
    </row>
    <row r="103" spans="1:7" ht="15.75" hidden="1">
      <c r="A103" s="184" t="s">
        <v>63</v>
      </c>
      <c r="B103" s="416"/>
      <c r="C103" s="379"/>
      <c r="D103" s="380"/>
      <c r="E103" s="509">
        <f t="shared" si="5"/>
        <v>0</v>
      </c>
      <c r="F103" s="510">
        <f>SUM(F104)</f>
        <v>0</v>
      </c>
      <c r="G103" s="511">
        <f>SUM(G104)</f>
        <v>0</v>
      </c>
    </row>
    <row r="104" spans="1:7" ht="24" customHeight="1" hidden="1">
      <c r="A104" s="1" t="s">
        <v>64</v>
      </c>
      <c r="B104" s="493" t="s">
        <v>87</v>
      </c>
      <c r="C104" s="437"/>
      <c r="D104" s="438"/>
      <c r="E104" s="512">
        <f t="shared" si="5"/>
        <v>0</v>
      </c>
      <c r="F104" s="439">
        <v>0</v>
      </c>
      <c r="G104" s="440">
        <v>0</v>
      </c>
    </row>
    <row r="105" spans="1:7" ht="24" customHeight="1" hidden="1">
      <c r="A105" s="260"/>
      <c r="B105" s="416" t="s">
        <v>110</v>
      </c>
      <c r="C105" s="501"/>
      <c r="D105" s="502"/>
      <c r="E105" s="444">
        <f t="shared" si="5"/>
        <v>0</v>
      </c>
      <c r="F105" s="503">
        <v>0</v>
      </c>
      <c r="G105" s="513">
        <v>0</v>
      </c>
    </row>
    <row r="106" spans="1:7" ht="16.5" customHeight="1" hidden="1">
      <c r="A106" s="165"/>
      <c r="B106" s="416" t="s">
        <v>111</v>
      </c>
      <c r="C106" s="501"/>
      <c r="D106" s="502"/>
      <c r="E106" s="444">
        <f t="shared" si="5"/>
        <v>0</v>
      </c>
      <c r="F106" s="503">
        <v>0</v>
      </c>
      <c r="G106" s="445">
        <v>0</v>
      </c>
    </row>
    <row r="107" spans="1:7" ht="18" customHeight="1" hidden="1">
      <c r="A107" s="166" t="s">
        <v>99</v>
      </c>
      <c r="B107" s="416" t="s">
        <v>100</v>
      </c>
      <c r="C107" s="501"/>
      <c r="D107" s="502"/>
      <c r="E107" s="444">
        <f t="shared" si="5"/>
        <v>0</v>
      </c>
      <c r="F107" s="503">
        <v>0</v>
      </c>
      <c r="G107" s="445">
        <v>0</v>
      </c>
    </row>
    <row r="108" spans="1:7" ht="18" customHeight="1" hidden="1">
      <c r="A108" s="179"/>
      <c r="B108" s="415" t="s">
        <v>92</v>
      </c>
      <c r="C108" s="504">
        <v>47000</v>
      </c>
      <c r="D108" s="505">
        <v>47000</v>
      </c>
      <c r="E108" s="399">
        <f t="shared" si="5"/>
        <v>0</v>
      </c>
      <c r="F108" s="506">
        <v>0</v>
      </c>
      <c r="G108" s="443">
        <v>0</v>
      </c>
    </row>
    <row r="109" spans="1:7" ht="18" customHeight="1" thickBot="1">
      <c r="A109" s="179" t="s">
        <v>178</v>
      </c>
      <c r="B109" s="496" t="s">
        <v>179</v>
      </c>
      <c r="C109" s="514"/>
      <c r="D109" s="515"/>
      <c r="E109" s="444">
        <f t="shared" si="5"/>
        <v>5700</v>
      </c>
      <c r="F109" s="503">
        <v>5700</v>
      </c>
      <c r="G109" s="445">
        <v>0</v>
      </c>
    </row>
    <row r="110" spans="1:7" ht="18" customHeight="1" thickBot="1">
      <c r="A110" s="185" t="s">
        <v>107</v>
      </c>
      <c r="B110" s="497"/>
      <c r="C110" s="498">
        <v>12500</v>
      </c>
      <c r="D110" s="499">
        <v>12500</v>
      </c>
      <c r="E110" s="472">
        <f t="shared" si="5"/>
        <v>50000</v>
      </c>
      <c r="F110" s="516">
        <f>SUM(F111)</f>
        <v>50000</v>
      </c>
      <c r="G110" s="474">
        <f>SUM(G111)</f>
        <v>0</v>
      </c>
    </row>
    <row r="111" spans="1:7" ht="20.25" customHeight="1" thickBot="1">
      <c r="A111" s="3" t="s">
        <v>108</v>
      </c>
      <c r="B111" s="416" t="s">
        <v>162</v>
      </c>
      <c r="C111" s="501"/>
      <c r="D111" s="502"/>
      <c r="E111" s="381">
        <f t="shared" si="5"/>
        <v>50000</v>
      </c>
      <c r="F111" s="503">
        <v>50000</v>
      </c>
      <c r="G111" s="445">
        <v>0</v>
      </c>
    </row>
    <row r="112" spans="1:7" ht="31.5" customHeight="1" thickBot="1">
      <c r="A112" s="186" t="s">
        <v>9</v>
      </c>
      <c r="B112" s="426"/>
      <c r="C112" s="427">
        <v>40000</v>
      </c>
      <c r="D112" s="517">
        <v>40000</v>
      </c>
      <c r="E112" s="472">
        <f t="shared" si="5"/>
        <v>143500</v>
      </c>
      <c r="F112" s="518">
        <f>SUM(F114:F119)</f>
        <v>143500</v>
      </c>
      <c r="G112" s="519">
        <f>SUM(G114:G119)</f>
        <v>0</v>
      </c>
    </row>
    <row r="113" spans="1:7" ht="13.5" customHeight="1" hidden="1">
      <c r="A113" s="230"/>
      <c r="B113" s="520"/>
      <c r="C113" s="521"/>
      <c r="D113" s="522"/>
      <c r="E113" s="399">
        <f t="shared" si="5"/>
        <v>0</v>
      </c>
      <c r="F113" s="523"/>
      <c r="G113" s="511"/>
    </row>
    <row r="114" spans="1:7" ht="19.5" customHeight="1" hidden="1">
      <c r="A114" s="231" t="s">
        <v>89</v>
      </c>
      <c r="B114" s="524" t="s">
        <v>91</v>
      </c>
      <c r="C114" s="525">
        <v>36475</v>
      </c>
      <c r="D114" s="526">
        <v>36475</v>
      </c>
      <c r="E114" s="494">
        <f t="shared" si="5"/>
        <v>0</v>
      </c>
      <c r="F114" s="527">
        <v>0</v>
      </c>
      <c r="G114" s="440">
        <v>0</v>
      </c>
    </row>
    <row r="115" spans="1:7" ht="15.75" customHeight="1" hidden="1">
      <c r="A115" s="751" t="s">
        <v>6</v>
      </c>
      <c r="B115" s="785" t="s">
        <v>7</v>
      </c>
      <c r="C115" s="406" t="s">
        <v>18</v>
      </c>
      <c r="D115" s="407" t="s">
        <v>8</v>
      </c>
      <c r="E115" s="813" t="s">
        <v>37</v>
      </c>
      <c r="F115" s="816" t="s">
        <v>19</v>
      </c>
      <c r="G115" s="817"/>
    </row>
    <row r="116" spans="1:7" ht="16.5" hidden="1" thickBot="1">
      <c r="A116" s="779"/>
      <c r="B116" s="831"/>
      <c r="C116" s="408" t="s">
        <v>0</v>
      </c>
      <c r="D116" s="409" t="s">
        <v>14</v>
      </c>
      <c r="E116" s="814"/>
      <c r="F116" s="818" t="s">
        <v>13</v>
      </c>
      <c r="G116" s="820" t="s">
        <v>20</v>
      </c>
    </row>
    <row r="117" spans="1:7" ht="15" customHeight="1" hidden="1">
      <c r="A117" s="780"/>
      <c r="B117" s="832"/>
      <c r="C117" s="410"/>
      <c r="D117" s="411" t="s">
        <v>15</v>
      </c>
      <c r="E117" s="815"/>
      <c r="F117" s="819"/>
      <c r="G117" s="821"/>
    </row>
    <row r="118" spans="1:7" ht="45" customHeight="1" hidden="1">
      <c r="A118" s="231" t="s">
        <v>40</v>
      </c>
      <c r="B118" s="528" t="s">
        <v>41</v>
      </c>
      <c r="C118" s="529">
        <v>36475</v>
      </c>
      <c r="D118" s="530">
        <v>36475</v>
      </c>
      <c r="E118" s="400">
        <f aca="true" t="shared" si="6" ref="E118:E128">SUM(F118:G118)</f>
        <v>0</v>
      </c>
      <c r="F118" s="531">
        <v>0</v>
      </c>
      <c r="G118" s="513">
        <v>0</v>
      </c>
    </row>
    <row r="119" spans="1:7" ht="18" customHeight="1" thickBot="1">
      <c r="A119" s="262" t="s">
        <v>35</v>
      </c>
      <c r="B119" s="532"/>
      <c r="C119" s="533"/>
      <c r="D119" s="534"/>
      <c r="E119" s="535">
        <f t="shared" si="6"/>
        <v>143500</v>
      </c>
      <c r="F119" s="536">
        <f>SUM(F120:F128)</f>
        <v>143500</v>
      </c>
      <c r="G119" s="536">
        <f>SUM(G120:G128)</f>
        <v>0</v>
      </c>
    </row>
    <row r="120" spans="1:7" ht="16.5" customHeight="1">
      <c r="A120" s="263"/>
      <c r="B120" s="537" t="s">
        <v>116</v>
      </c>
      <c r="C120" s="538">
        <v>36475</v>
      </c>
      <c r="D120" s="539">
        <v>36475</v>
      </c>
      <c r="E120" s="540">
        <f t="shared" si="6"/>
        <v>40000</v>
      </c>
      <c r="F120" s="488">
        <v>40000</v>
      </c>
      <c r="G120" s="393">
        <v>0</v>
      </c>
    </row>
    <row r="121" spans="1:7" ht="16.5" customHeight="1">
      <c r="A121" s="223"/>
      <c r="B121" s="541" t="s">
        <v>117</v>
      </c>
      <c r="C121" s="542"/>
      <c r="D121" s="543"/>
      <c r="E121" s="401">
        <f t="shared" si="6"/>
        <v>15000</v>
      </c>
      <c r="F121" s="435">
        <v>15000</v>
      </c>
      <c r="G121" s="382">
        <v>0</v>
      </c>
    </row>
    <row r="122" spans="1:7" ht="18" customHeight="1">
      <c r="A122" s="223"/>
      <c r="B122" s="541" t="s">
        <v>118</v>
      </c>
      <c r="C122" s="538"/>
      <c r="D122" s="539"/>
      <c r="E122" s="401">
        <f t="shared" si="6"/>
        <v>8000</v>
      </c>
      <c r="F122" s="488">
        <v>8000</v>
      </c>
      <c r="G122" s="393">
        <v>0</v>
      </c>
    </row>
    <row r="123" spans="1:7" ht="15.75" customHeight="1">
      <c r="A123" s="223"/>
      <c r="B123" s="544" t="s">
        <v>90</v>
      </c>
      <c r="C123" s="538"/>
      <c r="D123" s="539"/>
      <c r="E123" s="401">
        <f t="shared" si="6"/>
        <v>8200</v>
      </c>
      <c r="F123" s="545">
        <v>8200</v>
      </c>
      <c r="G123" s="393">
        <v>0</v>
      </c>
    </row>
    <row r="124" spans="1:7" ht="16.5" customHeight="1">
      <c r="A124" s="223"/>
      <c r="B124" s="541" t="s">
        <v>119</v>
      </c>
      <c r="C124" s="542"/>
      <c r="D124" s="543"/>
      <c r="E124" s="540">
        <f t="shared" si="6"/>
        <v>3000</v>
      </c>
      <c r="F124" s="546">
        <v>3000</v>
      </c>
      <c r="G124" s="382">
        <v>0</v>
      </c>
    </row>
    <row r="125" spans="1:8" ht="16.5" customHeight="1">
      <c r="A125" s="223"/>
      <c r="B125" s="541" t="s">
        <v>144</v>
      </c>
      <c r="C125" s="542"/>
      <c r="D125" s="543"/>
      <c r="E125" s="540">
        <f t="shared" si="6"/>
        <v>29000</v>
      </c>
      <c r="F125" s="546">
        <v>29000</v>
      </c>
      <c r="G125" s="382"/>
      <c r="H125" s="313" t="s">
        <v>145</v>
      </c>
    </row>
    <row r="126" spans="1:7" ht="17.25" customHeight="1">
      <c r="A126" s="223"/>
      <c r="B126" s="541" t="s">
        <v>121</v>
      </c>
      <c r="C126" s="542"/>
      <c r="D126" s="543"/>
      <c r="E126" s="540">
        <f t="shared" si="6"/>
        <v>3000</v>
      </c>
      <c r="F126" s="546">
        <v>3000</v>
      </c>
      <c r="G126" s="382"/>
    </row>
    <row r="127" spans="1:7" ht="20.25" customHeight="1">
      <c r="A127" s="223"/>
      <c r="B127" s="541" t="s">
        <v>141</v>
      </c>
      <c r="C127" s="542"/>
      <c r="D127" s="543"/>
      <c r="E127" s="540">
        <f t="shared" si="6"/>
        <v>25000</v>
      </c>
      <c r="F127" s="546">
        <v>25000</v>
      </c>
      <c r="G127" s="382"/>
    </row>
    <row r="128" spans="1:8" ht="20.25" customHeight="1" thickBot="1">
      <c r="A128" s="223"/>
      <c r="B128" s="547" t="s">
        <v>120</v>
      </c>
      <c r="C128" s="529"/>
      <c r="D128" s="530"/>
      <c r="E128" s="548">
        <f t="shared" si="6"/>
        <v>12300</v>
      </c>
      <c r="F128" s="549">
        <v>12300</v>
      </c>
      <c r="G128" s="387"/>
      <c r="H128" s="313" t="s">
        <v>160</v>
      </c>
    </row>
    <row r="129" spans="1:7" ht="15" customHeight="1">
      <c r="A129" s="751" t="s">
        <v>6</v>
      </c>
      <c r="B129" s="785" t="s">
        <v>7</v>
      </c>
      <c r="C129" s="406" t="s">
        <v>18</v>
      </c>
      <c r="D129" s="407" t="s">
        <v>8</v>
      </c>
      <c r="E129" s="813" t="s">
        <v>165</v>
      </c>
      <c r="F129" s="816" t="s">
        <v>19</v>
      </c>
      <c r="G129" s="817"/>
    </row>
    <row r="130" spans="1:7" ht="12.75" customHeight="1">
      <c r="A130" s="779"/>
      <c r="B130" s="831"/>
      <c r="C130" s="408" t="s">
        <v>0</v>
      </c>
      <c r="D130" s="409" t="s">
        <v>14</v>
      </c>
      <c r="E130" s="814"/>
      <c r="F130" s="791" t="s">
        <v>13</v>
      </c>
      <c r="G130" s="793" t="str">
        <f>G5</f>
        <v>środki zewnętrzne (zł)</v>
      </c>
    </row>
    <row r="131" spans="1:7" ht="18" customHeight="1" thickBot="1">
      <c r="A131" s="780"/>
      <c r="B131" s="832"/>
      <c r="C131" s="410"/>
      <c r="D131" s="411" t="s">
        <v>15</v>
      </c>
      <c r="E131" s="815"/>
      <c r="F131" s="840"/>
      <c r="G131" s="841"/>
    </row>
    <row r="132" spans="1:17" ht="28.5" customHeight="1" thickBot="1">
      <c r="A132" s="186" t="s">
        <v>21</v>
      </c>
      <c r="B132" s="426"/>
      <c r="C132" s="427">
        <v>23200</v>
      </c>
      <c r="D132" s="517">
        <v>23200</v>
      </c>
      <c r="E132" s="550">
        <f aca="true" t="shared" si="7" ref="E132:E158">SUM(F132:G132)</f>
        <v>102500</v>
      </c>
      <c r="F132" s="551">
        <f>SUM(F133:F142)</f>
        <v>102500</v>
      </c>
      <c r="G132" s="552">
        <f>SUM(G133:G141)</f>
        <v>0</v>
      </c>
      <c r="K132" s="307"/>
      <c r="L132" s="307"/>
      <c r="M132" s="308"/>
      <c r="N132" s="308"/>
      <c r="O132" s="309"/>
      <c r="P132" s="310"/>
      <c r="Q132" s="310"/>
    </row>
    <row r="133" spans="1:7" ht="25.5">
      <c r="A133" s="188" t="s">
        <v>22</v>
      </c>
      <c r="B133" s="553" t="s">
        <v>142</v>
      </c>
      <c r="C133" s="554">
        <v>1500</v>
      </c>
      <c r="D133" s="555">
        <v>1500</v>
      </c>
      <c r="E133" s="556">
        <f t="shared" si="7"/>
        <v>55000</v>
      </c>
      <c r="F133" s="488">
        <f>75000-20000</f>
        <v>55000</v>
      </c>
      <c r="G133" s="393">
        <v>0</v>
      </c>
    </row>
    <row r="134" spans="1:8" ht="17.25" customHeight="1" thickBot="1">
      <c r="A134" s="236"/>
      <c r="B134" s="557" t="s">
        <v>155</v>
      </c>
      <c r="C134" s="558"/>
      <c r="D134" s="559"/>
      <c r="E134" s="556">
        <f t="shared" si="7"/>
        <v>35000</v>
      </c>
      <c r="F134" s="488">
        <v>35000</v>
      </c>
      <c r="G134" s="393">
        <v>0</v>
      </c>
      <c r="H134" s="313" t="s">
        <v>133</v>
      </c>
    </row>
    <row r="135" spans="1:7" ht="15.75" hidden="1" thickBot="1">
      <c r="A135" s="320"/>
      <c r="B135" s="416" t="s">
        <v>88</v>
      </c>
      <c r="C135" s="560"/>
      <c r="D135" s="561"/>
      <c r="E135" s="562">
        <f t="shared" si="7"/>
        <v>0</v>
      </c>
      <c r="F135" s="435">
        <v>0</v>
      </c>
      <c r="G135" s="382">
        <v>0</v>
      </c>
    </row>
    <row r="136" spans="1:8" ht="17.25" customHeight="1" thickBot="1">
      <c r="A136" s="320"/>
      <c r="B136" s="563" t="s">
        <v>158</v>
      </c>
      <c r="C136" s="560">
        <v>1500</v>
      </c>
      <c r="D136" s="561">
        <v>1500</v>
      </c>
      <c r="E136" s="556">
        <f t="shared" si="7"/>
        <v>7500</v>
      </c>
      <c r="F136" s="540">
        <v>7500</v>
      </c>
      <c r="G136" s="382">
        <v>0</v>
      </c>
      <c r="H136" s="313" t="s">
        <v>159</v>
      </c>
    </row>
    <row r="137" spans="1:7" ht="22.5" customHeight="1" hidden="1">
      <c r="A137" s="320"/>
      <c r="B137" s="564" t="s">
        <v>97</v>
      </c>
      <c r="C137" s="560"/>
      <c r="D137" s="561"/>
      <c r="E137" s="556">
        <f t="shared" si="7"/>
        <v>0</v>
      </c>
      <c r="F137" s="540">
        <v>0</v>
      </c>
      <c r="G137" s="382">
        <v>0</v>
      </c>
    </row>
    <row r="138" spans="1:7" ht="17.25" customHeight="1" hidden="1">
      <c r="A138" s="320"/>
      <c r="B138" s="564" t="s">
        <v>93</v>
      </c>
      <c r="C138" s="560"/>
      <c r="D138" s="561"/>
      <c r="E138" s="556">
        <f t="shared" si="7"/>
        <v>0</v>
      </c>
      <c r="F138" s="540">
        <v>0</v>
      </c>
      <c r="G138" s="382">
        <v>0</v>
      </c>
    </row>
    <row r="139" spans="1:7" ht="17.25" customHeight="1" hidden="1">
      <c r="A139" s="320"/>
      <c r="B139" s="565" t="s">
        <v>86</v>
      </c>
      <c r="C139" s="560"/>
      <c r="D139" s="561"/>
      <c r="E139" s="562">
        <f t="shared" si="7"/>
        <v>0</v>
      </c>
      <c r="F139" s="435">
        <v>0</v>
      </c>
      <c r="G139" s="382">
        <v>0</v>
      </c>
    </row>
    <row r="140" spans="1:7" ht="18.75" customHeight="1" hidden="1">
      <c r="A140" s="320"/>
      <c r="B140" s="416" t="s">
        <v>113</v>
      </c>
      <c r="C140" s="560"/>
      <c r="D140" s="561"/>
      <c r="E140" s="562">
        <f t="shared" si="7"/>
        <v>0</v>
      </c>
      <c r="F140" s="435">
        <v>0</v>
      </c>
      <c r="G140" s="382">
        <v>0</v>
      </c>
    </row>
    <row r="141" spans="1:10" ht="15" customHeight="1" hidden="1">
      <c r="A141" s="328"/>
      <c r="B141" s="528" t="s">
        <v>85</v>
      </c>
      <c r="C141" s="566"/>
      <c r="D141" s="567"/>
      <c r="E141" s="568">
        <f t="shared" si="7"/>
        <v>0</v>
      </c>
      <c r="F141" s="569">
        <v>0</v>
      </c>
      <c r="G141" s="387">
        <v>0</v>
      </c>
      <c r="H141" s="335"/>
      <c r="J141" s="306"/>
    </row>
    <row r="142" spans="1:10" ht="30" customHeight="1" thickBot="1">
      <c r="A142" s="240" t="s">
        <v>59</v>
      </c>
      <c r="B142" s="570" t="s">
        <v>156</v>
      </c>
      <c r="C142" s="571">
        <v>1500</v>
      </c>
      <c r="D142" s="572">
        <v>1500</v>
      </c>
      <c r="E142" s="573">
        <f t="shared" si="7"/>
        <v>5000</v>
      </c>
      <c r="F142" s="448">
        <v>5000</v>
      </c>
      <c r="G142" s="495">
        <v>0</v>
      </c>
      <c r="H142" s="335" t="s">
        <v>157</v>
      </c>
      <c r="J142" s="306"/>
    </row>
    <row r="143" spans="1:7" ht="18" customHeight="1" thickBot="1">
      <c r="A143" s="241" t="s">
        <v>23</v>
      </c>
      <c r="B143" s="426"/>
      <c r="C143" s="427">
        <v>23200</v>
      </c>
      <c r="D143" s="517">
        <v>23200</v>
      </c>
      <c r="E143" s="472">
        <f t="shared" si="7"/>
        <v>181000</v>
      </c>
      <c r="F143" s="427">
        <f>SUM(F144:F158)</f>
        <v>151000</v>
      </c>
      <c r="G143" s="552">
        <f>SUM(G144:G158)</f>
        <v>30000</v>
      </c>
    </row>
    <row r="144" spans="1:10" ht="15.75" thickBot="1">
      <c r="A144" s="208" t="s">
        <v>24</v>
      </c>
      <c r="B144" s="574" t="s">
        <v>147</v>
      </c>
      <c r="C144" s="558">
        <v>1500</v>
      </c>
      <c r="D144" s="559">
        <v>1500</v>
      </c>
      <c r="E144" s="540">
        <f t="shared" si="7"/>
        <v>33500</v>
      </c>
      <c r="F144" s="488">
        <v>33500</v>
      </c>
      <c r="G144" s="393">
        <v>0</v>
      </c>
      <c r="H144" s="313" t="s">
        <v>148</v>
      </c>
      <c r="J144" s="302"/>
    </row>
    <row r="145" spans="1:10" ht="15.75" thickBot="1">
      <c r="A145" s="236"/>
      <c r="B145" s="575" t="s">
        <v>103</v>
      </c>
      <c r="C145" s="560"/>
      <c r="D145" s="561"/>
      <c r="E145" s="540">
        <f t="shared" si="7"/>
        <v>14000</v>
      </c>
      <c r="F145" s="435">
        <v>14000</v>
      </c>
      <c r="G145" s="382">
        <v>0</v>
      </c>
      <c r="H145" s="313" t="s">
        <v>151</v>
      </c>
      <c r="J145" s="302"/>
    </row>
    <row r="146" spans="1:10" ht="15.75" thickBot="1">
      <c r="A146" s="320"/>
      <c r="B146" s="395" t="s">
        <v>67</v>
      </c>
      <c r="C146" s="560"/>
      <c r="D146" s="561"/>
      <c r="E146" s="540">
        <f t="shared" si="7"/>
        <v>15000</v>
      </c>
      <c r="F146" s="435">
        <v>15000</v>
      </c>
      <c r="G146" s="382">
        <v>0</v>
      </c>
      <c r="H146" s="356" t="s">
        <v>143</v>
      </c>
      <c r="J146" s="302"/>
    </row>
    <row r="147" spans="1:10" ht="15.75" thickBot="1">
      <c r="A147" s="320"/>
      <c r="B147" s="413" t="s">
        <v>146</v>
      </c>
      <c r="C147" s="560"/>
      <c r="D147" s="561"/>
      <c r="E147" s="540">
        <f t="shared" si="7"/>
        <v>5000</v>
      </c>
      <c r="F147" s="435">
        <v>5000</v>
      </c>
      <c r="G147" s="382">
        <v>0</v>
      </c>
      <c r="H147" s="356" t="s">
        <v>157</v>
      </c>
      <c r="J147" s="302"/>
    </row>
    <row r="148" spans="1:10" ht="30.75" thickBot="1">
      <c r="A148" s="320"/>
      <c r="B148" s="413" t="s">
        <v>95</v>
      </c>
      <c r="C148" s="560"/>
      <c r="D148" s="561"/>
      <c r="E148" s="401">
        <f t="shared" si="7"/>
        <v>90000</v>
      </c>
      <c r="F148" s="435">
        <v>60000</v>
      </c>
      <c r="G148" s="382">
        <f>0+30000</f>
        <v>30000</v>
      </c>
      <c r="H148" s="356" t="s">
        <v>150</v>
      </c>
      <c r="J148" s="302"/>
    </row>
    <row r="149" spans="1:10" ht="12.75" hidden="1">
      <c r="A149" s="707" t="s">
        <v>6</v>
      </c>
      <c r="B149" s="785" t="s">
        <v>7</v>
      </c>
      <c r="C149" s="370" t="s">
        <v>18</v>
      </c>
      <c r="D149" s="371" t="s">
        <v>8</v>
      </c>
      <c r="E149" s="842" t="s">
        <v>96</v>
      </c>
      <c r="F149" s="789" t="s">
        <v>19</v>
      </c>
      <c r="G149" s="790"/>
      <c r="H149" s="356"/>
      <c r="J149" s="302"/>
    </row>
    <row r="150" spans="1:10" ht="12.75" hidden="1">
      <c r="A150" s="708"/>
      <c r="B150" s="786"/>
      <c r="C150" s="372" t="s">
        <v>0</v>
      </c>
      <c r="D150" s="373" t="s">
        <v>14</v>
      </c>
      <c r="E150" s="843"/>
      <c r="F150" s="791" t="s">
        <v>54</v>
      </c>
      <c r="G150" s="793" t="s">
        <v>55</v>
      </c>
      <c r="H150" s="356"/>
      <c r="J150" s="302"/>
    </row>
    <row r="151" spans="1:10" ht="12.75" hidden="1">
      <c r="A151" s="708"/>
      <c r="B151" s="786"/>
      <c r="C151" s="372"/>
      <c r="D151" s="373" t="s">
        <v>15</v>
      </c>
      <c r="E151" s="844"/>
      <c r="F151" s="845"/>
      <c r="G151" s="846"/>
      <c r="H151" s="356"/>
      <c r="J151" s="302"/>
    </row>
    <row r="152" spans="1:10" ht="15.75">
      <c r="A152" s="280"/>
      <c r="B152" s="576" t="s">
        <v>58</v>
      </c>
      <c r="C152" s="538"/>
      <c r="D152" s="539"/>
      <c r="E152" s="540">
        <f>SUM(F152:G152)</f>
        <v>12000</v>
      </c>
      <c r="F152" s="546">
        <v>12000</v>
      </c>
      <c r="G152" s="393">
        <v>0</v>
      </c>
      <c r="H152" s="356" t="s">
        <v>152</v>
      </c>
      <c r="J152" s="302"/>
    </row>
    <row r="153" spans="1:10" ht="15.75" hidden="1" thickBot="1">
      <c r="A153" s="320"/>
      <c r="B153" s="577" t="s">
        <v>58</v>
      </c>
      <c r="C153" s="560"/>
      <c r="D153" s="561"/>
      <c r="E153" s="401">
        <f t="shared" si="7"/>
        <v>0</v>
      </c>
      <c r="F153" s="435">
        <v>0</v>
      </c>
      <c r="G153" s="382">
        <v>0</v>
      </c>
      <c r="H153" s="356" t="s">
        <v>69</v>
      </c>
      <c r="J153" s="302"/>
    </row>
    <row r="154" spans="1:10" ht="18.75" customHeight="1" thickBot="1">
      <c r="A154" s="320"/>
      <c r="B154" s="575" t="s">
        <v>153</v>
      </c>
      <c r="C154" s="560"/>
      <c r="D154" s="561"/>
      <c r="E154" s="401">
        <f t="shared" si="7"/>
        <v>5500</v>
      </c>
      <c r="F154" s="435">
        <f>5000+500</f>
        <v>5500</v>
      </c>
      <c r="G154" s="382">
        <v>0</v>
      </c>
      <c r="H154" s="356" t="s">
        <v>154</v>
      </c>
      <c r="J154" s="302"/>
    </row>
    <row r="155" spans="1:10" ht="15.75" hidden="1" thickBot="1">
      <c r="A155" s="320"/>
      <c r="B155" s="577" t="s">
        <v>94</v>
      </c>
      <c r="C155" s="560"/>
      <c r="D155" s="561"/>
      <c r="E155" s="401">
        <f t="shared" si="7"/>
        <v>0</v>
      </c>
      <c r="F155" s="435">
        <v>0</v>
      </c>
      <c r="G155" s="382">
        <v>0</v>
      </c>
      <c r="J155" s="302"/>
    </row>
    <row r="156" spans="1:10" ht="31.5" customHeight="1" hidden="1">
      <c r="A156" s="320"/>
      <c r="B156" s="577" t="s">
        <v>102</v>
      </c>
      <c r="C156" s="560"/>
      <c r="D156" s="561"/>
      <c r="E156" s="401">
        <f t="shared" si="7"/>
        <v>0</v>
      </c>
      <c r="F156" s="435">
        <v>0</v>
      </c>
      <c r="G156" s="382">
        <v>0</v>
      </c>
      <c r="J156" s="302"/>
    </row>
    <row r="157" spans="1:10" ht="18" customHeight="1" thickBot="1">
      <c r="A157" s="328"/>
      <c r="B157" s="578" t="s">
        <v>73</v>
      </c>
      <c r="C157" s="560"/>
      <c r="D157" s="561"/>
      <c r="E157" s="449">
        <f t="shared" si="7"/>
        <v>6000</v>
      </c>
      <c r="F157" s="448">
        <v>6000</v>
      </c>
      <c r="G157" s="495">
        <v>0</v>
      </c>
      <c r="H157" s="313" t="s">
        <v>161</v>
      </c>
      <c r="J157" s="302"/>
    </row>
    <row r="158" spans="1:9" s="302" customFormat="1" ht="13.5" hidden="1" thickBot="1">
      <c r="A158" s="328"/>
      <c r="B158" s="579" t="s">
        <v>28</v>
      </c>
      <c r="C158" s="580">
        <v>1500</v>
      </c>
      <c r="D158" s="581">
        <v>1500</v>
      </c>
      <c r="E158" s="582">
        <f t="shared" si="7"/>
        <v>0</v>
      </c>
      <c r="F158" s="583">
        <v>0</v>
      </c>
      <c r="G158" s="584">
        <v>0</v>
      </c>
      <c r="H158" s="312"/>
      <c r="I158" s="312"/>
    </row>
    <row r="159" spans="1:9" s="302" customFormat="1" ht="5.25" customHeight="1">
      <c r="A159" s="311"/>
      <c r="B159" s="451"/>
      <c r="C159" s="365"/>
      <c r="D159" s="366"/>
      <c r="E159" s="366"/>
      <c r="F159" s="365"/>
      <c r="G159" s="365"/>
      <c r="H159" s="312"/>
      <c r="I159" s="312"/>
    </row>
    <row r="160" spans="1:9" s="302" customFormat="1" ht="16.5" thickBot="1">
      <c r="A160" s="746" t="s">
        <v>17</v>
      </c>
      <c r="B160" s="746"/>
      <c r="C160" s="585"/>
      <c r="D160" s="508"/>
      <c r="E160" s="363">
        <f>SUM(E112+E97+E90+E81+E49+E7+E132+E143+E87+E103+E110+E78)</f>
        <v>5648877</v>
      </c>
      <c r="F160" s="363">
        <f>SUM(F112+F97+F90+F81+F49+F7+F132+F143+F87+F103+F110+F78)</f>
        <v>4818877</v>
      </c>
      <c r="G160" s="363">
        <f>SUM(G112+G97+G90+G81+G49+G7+G132+G143+G87+G103)</f>
        <v>830000</v>
      </c>
      <c r="H160" s="312"/>
      <c r="I160" s="312"/>
    </row>
    <row r="161" ht="13.5" thickTop="1">
      <c r="D161" s="366" t="s">
        <v>16</v>
      </c>
    </row>
    <row r="162" spans="3:6" ht="15">
      <c r="C162" s="586"/>
      <c r="F162" s="365" t="s">
        <v>188</v>
      </c>
    </row>
    <row r="163" spans="5:7" ht="12.75">
      <c r="E163" s="365"/>
      <c r="F163" s="365" t="s">
        <v>189</v>
      </c>
      <c r="G163" s="365">
        <f>G77</f>
        <v>800000</v>
      </c>
    </row>
    <row r="164" spans="5:7" ht="12.75">
      <c r="E164" s="365"/>
      <c r="F164" s="365" t="s">
        <v>187</v>
      </c>
      <c r="G164" s="365">
        <f>G148</f>
        <v>30000</v>
      </c>
    </row>
    <row r="166" ht="12.75">
      <c r="J166" s="303" t="s">
        <v>39</v>
      </c>
    </row>
    <row r="167" spans="7:10" ht="12.75">
      <c r="G167" s="587">
        <f>SUM(F160:G160)</f>
        <v>5648877</v>
      </c>
      <c r="J167" s="302">
        <f>SUM(G167)-E160</f>
        <v>0</v>
      </c>
    </row>
  </sheetData>
  <sheetProtection/>
  <mergeCells count="50">
    <mergeCell ref="A160:B160"/>
    <mergeCell ref="A149:A151"/>
    <mergeCell ref="B149:B151"/>
    <mergeCell ref="E149:E151"/>
    <mergeCell ref="F149:G149"/>
    <mergeCell ref="F150:F151"/>
    <mergeCell ref="G150:G151"/>
    <mergeCell ref="A129:A131"/>
    <mergeCell ref="B129:B131"/>
    <mergeCell ref="E129:E131"/>
    <mergeCell ref="F129:G129"/>
    <mergeCell ref="F130:F131"/>
    <mergeCell ref="G130:G131"/>
    <mergeCell ref="A115:A117"/>
    <mergeCell ref="B115:B117"/>
    <mergeCell ref="E115:E117"/>
    <mergeCell ref="F115:G115"/>
    <mergeCell ref="F116:F117"/>
    <mergeCell ref="G116:G117"/>
    <mergeCell ref="A93:A95"/>
    <mergeCell ref="B93:B95"/>
    <mergeCell ref="E93:E95"/>
    <mergeCell ref="F93:G93"/>
    <mergeCell ref="F94:F95"/>
    <mergeCell ref="G94:G95"/>
    <mergeCell ref="A67:A69"/>
    <mergeCell ref="B67:B69"/>
    <mergeCell ref="E67:E69"/>
    <mergeCell ref="F67:G67"/>
    <mergeCell ref="F68:F69"/>
    <mergeCell ref="G68:G69"/>
    <mergeCell ref="A34:A36"/>
    <mergeCell ref="B34:B36"/>
    <mergeCell ref="E34:E36"/>
    <mergeCell ref="F34:G34"/>
    <mergeCell ref="F35:F36"/>
    <mergeCell ref="G35:G36"/>
    <mergeCell ref="B10:B13"/>
    <mergeCell ref="E10:E13"/>
    <mergeCell ref="F10:F13"/>
    <mergeCell ref="B18:B19"/>
    <mergeCell ref="E18:E19"/>
    <mergeCell ref="F18:F19"/>
    <mergeCell ref="E2:G2"/>
    <mergeCell ref="A4:A6"/>
    <mergeCell ref="B4:B6"/>
    <mergeCell ref="E4:E6"/>
    <mergeCell ref="F4:G4"/>
    <mergeCell ref="F5:F6"/>
    <mergeCell ref="G5:G6"/>
  </mergeCells>
  <conditionalFormatting sqref="I1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{014a3316-2d28-4b9a-97a3-ca4f822c4f8a}</x14:id>
        </ext>
      </extLst>
    </cfRule>
  </conditionalFormatting>
  <conditionalFormatting sqref="A7:A4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{4e12a471-adfa-46ce-a9a2-0862e85ef10d}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71" r:id="rId1"/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4a3316-2d28-4b9a-97a3-ca4f822c4f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</xm:sqref>
        </x14:conditionalFormatting>
        <x14:conditionalFormatting xmlns:xm="http://schemas.microsoft.com/office/excel/2006/main">
          <x14:cfRule type="dataBar" id="{4e12a471-adfa-46ce-a9a2-0862e85ef1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128">
      <selection activeCell="B112" sqref="B112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G1" s="367" t="s">
        <v>197</v>
      </c>
    </row>
    <row r="2" spans="1:7" ht="18">
      <c r="A2" s="284"/>
      <c r="B2" s="364" t="s">
        <v>167</v>
      </c>
      <c r="E2" s="783" t="s">
        <v>196</v>
      </c>
      <c r="F2" s="784"/>
      <c r="G2" s="784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SUM(E8:E48)</f>
        <v>602610</v>
      </c>
      <c r="F7" s="377">
        <f>SUM(F8:F48)</f>
        <v>602610</v>
      </c>
      <c r="G7" s="377">
        <f>SUM(G8:G47)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305" customFormat="1" ht="20.25" customHeight="1">
      <c r="A15" s="320"/>
      <c r="B15" s="383" t="s">
        <v>126</v>
      </c>
      <c r="C15" s="379"/>
      <c r="D15" s="384"/>
      <c r="E15" s="381">
        <f>SUM(F15:G15)</f>
        <v>65000</v>
      </c>
      <c r="F15" s="382">
        <v>65000</v>
      </c>
      <c r="G15" s="393">
        <v>0</v>
      </c>
      <c r="H15" s="207"/>
      <c r="I15" s="200"/>
    </row>
    <row r="16" spans="1:9" s="305" customFormat="1" ht="20.25" customHeight="1">
      <c r="A16" s="320"/>
      <c r="B16" s="383" t="s">
        <v>127</v>
      </c>
      <c r="C16" s="379"/>
      <c r="D16" s="380"/>
      <c r="E16" s="381">
        <f>SUM(F16:G16)</f>
        <v>334000</v>
      </c>
      <c r="F16" s="382">
        <f>100000-1700-1700+300000-20000-40000-10000+7400</f>
        <v>334000</v>
      </c>
      <c r="G16" s="382">
        <f>300000-300000</f>
        <v>0</v>
      </c>
      <c r="H16" s="207"/>
      <c r="I16" s="200"/>
    </row>
    <row r="17" spans="1:9" s="305" customFormat="1" ht="16.5" customHeight="1" hidden="1">
      <c r="A17" s="320"/>
      <c r="B17" s="378" t="s">
        <v>79</v>
      </c>
      <c r="C17" s="379"/>
      <c r="D17" s="384"/>
      <c r="E17" s="381">
        <f>SUM(F17:G17)</f>
        <v>0</v>
      </c>
      <c r="F17" s="382">
        <v>0</v>
      </c>
      <c r="G17" s="382">
        <v>0</v>
      </c>
      <c r="H17" s="207"/>
      <c r="I17" s="200"/>
    </row>
    <row r="18" spans="1:9" s="305" customFormat="1" ht="11.25" customHeight="1" hidden="1">
      <c r="A18" s="320"/>
      <c r="B18" s="847" t="s">
        <v>80</v>
      </c>
      <c r="C18" s="379"/>
      <c r="D18" s="384"/>
      <c r="E18" s="849">
        <f>SUM(F18:G18)</f>
        <v>0</v>
      </c>
      <c r="F18" s="851">
        <v>0</v>
      </c>
      <c r="G18" s="387">
        <v>0</v>
      </c>
      <c r="H18" s="207"/>
      <c r="I18" s="200"/>
    </row>
    <row r="19" spans="1:9" s="305" customFormat="1" ht="10.5" customHeight="1" hidden="1">
      <c r="A19" s="320"/>
      <c r="B19" s="848"/>
      <c r="C19" s="379"/>
      <c r="D19" s="384"/>
      <c r="E19" s="850"/>
      <c r="F19" s="852"/>
      <c r="G19" s="392"/>
      <c r="H19" s="207"/>
      <c r="I19" s="200"/>
    </row>
    <row r="20" spans="1:9" s="305" customFormat="1" ht="16.5" customHeight="1" hidden="1">
      <c r="A20" s="320"/>
      <c r="B20" s="394" t="s">
        <v>74</v>
      </c>
      <c r="C20" s="379"/>
      <c r="D20" s="384"/>
      <c r="E20" s="381">
        <f>SUM(F20:G20)</f>
        <v>0</v>
      </c>
      <c r="F20" s="382">
        <v>0</v>
      </c>
      <c r="G20" s="393">
        <v>0</v>
      </c>
      <c r="H20" s="207"/>
      <c r="I20" s="200"/>
    </row>
    <row r="21" spans="1:9" s="305" customFormat="1" ht="14.25" customHeight="1" hidden="1">
      <c r="A21" s="323"/>
      <c r="B21" s="604" t="s">
        <v>75</v>
      </c>
      <c r="C21" s="379"/>
      <c r="D21" s="384"/>
      <c r="E21" s="381">
        <f aca="true" t="shared" si="0" ref="E21:E26">SUM(F21:G21)</f>
        <v>0</v>
      </c>
      <c r="F21" s="382">
        <v>0</v>
      </c>
      <c r="G21" s="382">
        <v>0</v>
      </c>
      <c r="H21" s="207"/>
      <c r="I21" s="200"/>
    </row>
    <row r="22" spans="1:9" s="305" customFormat="1" ht="16.5" customHeight="1" hidden="1">
      <c r="A22" s="323"/>
      <c r="B22" s="605" t="s">
        <v>81</v>
      </c>
      <c r="C22" s="379">
        <v>30000</v>
      </c>
      <c r="D22" s="380">
        <v>30000</v>
      </c>
      <c r="E22" s="381">
        <f t="shared" si="0"/>
        <v>0</v>
      </c>
      <c r="F22" s="382">
        <v>0</v>
      </c>
      <c r="G22" s="382">
        <v>0</v>
      </c>
      <c r="H22" s="207"/>
      <c r="I22" s="200"/>
    </row>
    <row r="23" spans="1:9" s="305" customFormat="1" ht="19.5" customHeight="1" hidden="1">
      <c r="A23" s="323"/>
      <c r="B23" s="395" t="s">
        <v>104</v>
      </c>
      <c r="C23" s="379">
        <v>83000</v>
      </c>
      <c r="D23" s="380">
        <v>83000</v>
      </c>
      <c r="E23" s="381">
        <f t="shared" si="0"/>
        <v>0</v>
      </c>
      <c r="F23" s="382">
        <v>0</v>
      </c>
      <c r="G23" s="382">
        <v>0</v>
      </c>
      <c r="H23" s="207"/>
      <c r="I23" s="200"/>
    </row>
    <row r="24" spans="1:9" s="305" customFormat="1" ht="16.5" customHeight="1" hidden="1">
      <c r="A24" s="323"/>
      <c r="B24" s="395" t="s">
        <v>76</v>
      </c>
      <c r="C24" s="379"/>
      <c r="D24" s="380"/>
      <c r="E24" s="381">
        <f t="shared" si="0"/>
        <v>0</v>
      </c>
      <c r="F24" s="379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606" t="s">
        <v>77</v>
      </c>
      <c r="C25" s="396"/>
      <c r="D25" s="607"/>
      <c r="E25" s="381">
        <f t="shared" si="0"/>
        <v>0</v>
      </c>
      <c r="F25" s="396">
        <v>0</v>
      </c>
      <c r="G25" s="387">
        <v>0</v>
      </c>
      <c r="H25" s="207"/>
      <c r="I25" s="200"/>
    </row>
    <row r="26" spans="1:9" s="305" customFormat="1" ht="15" hidden="1">
      <c r="A26" s="323"/>
      <c r="B26" s="395" t="s">
        <v>82</v>
      </c>
      <c r="C26" s="379"/>
      <c r="D26" s="380"/>
      <c r="E26" s="381">
        <f t="shared" si="0"/>
        <v>0</v>
      </c>
      <c r="F26" s="379">
        <v>0</v>
      </c>
      <c r="G26" s="382">
        <v>0</v>
      </c>
      <c r="H26" s="207"/>
      <c r="I26" s="200"/>
    </row>
    <row r="27" spans="1:9" s="305" customFormat="1" ht="27.75" customHeight="1" hidden="1">
      <c r="A27" s="323"/>
      <c r="B27" s="395" t="s">
        <v>50</v>
      </c>
      <c r="C27" s="397">
        <v>1000</v>
      </c>
      <c r="D27" s="398">
        <v>1000</v>
      </c>
      <c r="E27" s="399">
        <f>SUM(F27:G27)</f>
        <v>0</v>
      </c>
      <c r="F27" s="397">
        <v>0</v>
      </c>
      <c r="G27" s="393"/>
      <c r="H27" s="207"/>
      <c r="I27" s="200"/>
    </row>
    <row r="28" spans="1:9" s="305" customFormat="1" ht="16.5" customHeight="1" hidden="1">
      <c r="A28" s="323"/>
      <c r="B28" s="395" t="s">
        <v>78</v>
      </c>
      <c r="C28" s="379"/>
      <c r="D28" s="380"/>
      <c r="E28" s="381">
        <f>SUM(F28:G28)</f>
        <v>0</v>
      </c>
      <c r="F28" s="379">
        <v>0</v>
      </c>
      <c r="G28" s="382">
        <v>0</v>
      </c>
      <c r="H28" s="207"/>
      <c r="I28" s="200"/>
    </row>
    <row r="29" spans="1:7" ht="15.75" customHeight="1" hidden="1">
      <c r="A29" s="323"/>
      <c r="B29" s="608" t="s">
        <v>45</v>
      </c>
      <c r="C29" s="396"/>
      <c r="D29" s="607"/>
      <c r="E29" s="400">
        <f>SUM(F29:G29)</f>
        <v>0</v>
      </c>
      <c r="F29" s="396">
        <v>0</v>
      </c>
      <c r="G29" s="387">
        <v>0</v>
      </c>
    </row>
    <row r="30" spans="1:7" ht="20.25" customHeight="1">
      <c r="A30" s="323"/>
      <c r="B30" s="609" t="s">
        <v>57</v>
      </c>
      <c r="C30" s="610"/>
      <c r="D30" s="610"/>
      <c r="E30" s="401">
        <f>SUM(F30:G30)</f>
        <v>41054</v>
      </c>
      <c r="F30" s="610">
        <f>50000-1546-7400</f>
        <v>41054</v>
      </c>
      <c r="G30" s="382">
        <v>0</v>
      </c>
    </row>
    <row r="31" spans="1:7" ht="15" hidden="1">
      <c r="A31" s="323"/>
      <c r="B31" s="402"/>
      <c r="C31" s="403"/>
      <c r="D31" s="403"/>
      <c r="E31" s="404"/>
      <c r="F31" s="403"/>
      <c r="G31" s="405"/>
    </row>
    <row r="32" spans="1:7" ht="18" customHeight="1" hidden="1">
      <c r="A32" s="323"/>
      <c r="B32" s="402"/>
      <c r="C32" s="403"/>
      <c r="D32" s="403"/>
      <c r="E32" s="404"/>
      <c r="F32" s="403"/>
      <c r="G32" s="405"/>
    </row>
    <row r="33" spans="1:7" ht="15" hidden="1">
      <c r="A33" s="323"/>
      <c r="B33" s="402"/>
      <c r="C33" s="403"/>
      <c r="D33" s="403"/>
      <c r="E33" s="404"/>
      <c r="F33" s="403"/>
      <c r="G33" s="405"/>
    </row>
    <row r="34" spans="1:7" ht="12.75" customHeight="1" hidden="1">
      <c r="A34" s="747" t="s">
        <v>6</v>
      </c>
      <c r="B34" s="810" t="s">
        <v>7</v>
      </c>
      <c r="C34" s="406" t="s">
        <v>18</v>
      </c>
      <c r="D34" s="407" t="s">
        <v>8</v>
      </c>
      <c r="E34" s="813" t="s">
        <v>5</v>
      </c>
      <c r="F34" s="816" t="s">
        <v>19</v>
      </c>
      <c r="G34" s="817"/>
    </row>
    <row r="35" spans="1:7" ht="15.75" hidden="1">
      <c r="A35" s="777"/>
      <c r="B35" s="811"/>
      <c r="C35" s="408" t="s">
        <v>0</v>
      </c>
      <c r="D35" s="409" t="s">
        <v>14</v>
      </c>
      <c r="E35" s="814"/>
      <c r="F35" s="818" t="s">
        <v>13</v>
      </c>
      <c r="G35" s="820" t="s">
        <v>20</v>
      </c>
    </row>
    <row r="36" spans="1:7" ht="16.5" hidden="1" thickBot="1">
      <c r="A36" s="777"/>
      <c r="B36" s="812"/>
      <c r="C36" s="410"/>
      <c r="D36" s="411" t="s">
        <v>15</v>
      </c>
      <c r="E36" s="815"/>
      <c r="F36" s="819"/>
      <c r="G36" s="821"/>
    </row>
    <row r="37" spans="1:7" ht="15">
      <c r="A37" s="325"/>
      <c r="B37" s="412" t="s">
        <v>128</v>
      </c>
      <c r="C37" s="379"/>
      <c r="D37" s="380"/>
      <c r="E37" s="381">
        <f>SUM(F37:G37)</f>
        <v>66900</v>
      </c>
      <c r="F37" s="379">
        <v>66900</v>
      </c>
      <c r="G37" s="382">
        <v>0</v>
      </c>
    </row>
    <row r="38" spans="1:7" ht="19.5" customHeight="1">
      <c r="A38" s="323"/>
      <c r="B38" s="412" t="s">
        <v>175</v>
      </c>
      <c r="C38" s="379"/>
      <c r="D38" s="380"/>
      <c r="E38" s="381">
        <f aca="true" t="shared" si="1" ref="E38:E43">SUM(F38:G38)</f>
        <v>14056</v>
      </c>
      <c r="F38" s="379">
        <f>12510+1546</f>
        <v>14056</v>
      </c>
      <c r="G38" s="382">
        <v>0</v>
      </c>
    </row>
    <row r="39" spans="1:7" ht="15" customHeight="1" hidden="1">
      <c r="A39" s="323"/>
      <c r="B39" s="412" t="s">
        <v>83</v>
      </c>
      <c r="C39" s="379"/>
      <c r="D39" s="380"/>
      <c r="E39" s="381">
        <f t="shared" si="1"/>
        <v>0</v>
      </c>
      <c r="F39" s="379">
        <v>0</v>
      </c>
      <c r="G39" s="382">
        <v>0</v>
      </c>
    </row>
    <row r="40" spans="1:7" ht="15" customHeight="1" hidden="1">
      <c r="A40" s="323"/>
      <c r="B40" s="413" t="s">
        <v>84</v>
      </c>
      <c r="C40" s="379"/>
      <c r="D40" s="380"/>
      <c r="E40" s="381">
        <f t="shared" si="1"/>
        <v>0</v>
      </c>
      <c r="F40" s="379">
        <v>0</v>
      </c>
      <c r="G40" s="382"/>
    </row>
    <row r="41" spans="1:7" ht="15.75" customHeight="1" hidden="1">
      <c r="A41" s="326"/>
      <c r="B41" s="414" t="s">
        <v>98</v>
      </c>
      <c r="C41" s="379">
        <v>44900</v>
      </c>
      <c r="D41" s="380">
        <v>44900</v>
      </c>
      <c r="E41" s="381">
        <f t="shared" si="1"/>
        <v>0</v>
      </c>
      <c r="F41" s="379">
        <v>0</v>
      </c>
      <c r="G41" s="382">
        <v>0</v>
      </c>
    </row>
    <row r="42" spans="1:7" ht="13.5" customHeight="1" hidden="1">
      <c r="A42" s="320"/>
      <c r="B42" s="415" t="s">
        <v>1</v>
      </c>
      <c r="C42" s="379"/>
      <c r="D42" s="380"/>
      <c r="E42" s="381">
        <f t="shared" si="1"/>
        <v>0</v>
      </c>
      <c r="F42" s="379">
        <v>0</v>
      </c>
      <c r="G42" s="382">
        <v>0</v>
      </c>
    </row>
    <row r="43" spans="1:7" ht="13.5" customHeight="1" hidden="1">
      <c r="A43" s="327"/>
      <c r="B43" s="416" t="s">
        <v>2</v>
      </c>
      <c r="C43" s="379"/>
      <c r="D43" s="380"/>
      <c r="E43" s="400">
        <f t="shared" si="1"/>
        <v>0</v>
      </c>
      <c r="F43" s="396">
        <v>0</v>
      </c>
      <c r="G43" s="387"/>
    </row>
    <row r="44" spans="1:8" ht="15" customHeight="1" hidden="1">
      <c r="A44" s="215" t="s">
        <v>43</v>
      </c>
      <c r="B44" s="417" t="s">
        <v>71</v>
      </c>
      <c r="C44" s="403"/>
      <c r="D44" s="418"/>
      <c r="E44" s="381">
        <f>SUM(F44:G44)</f>
        <v>0</v>
      </c>
      <c r="F44" s="379">
        <v>0</v>
      </c>
      <c r="G44" s="419">
        <v>0</v>
      </c>
      <c r="H44" s="313" t="s">
        <v>72</v>
      </c>
    </row>
    <row r="45" spans="1:7" ht="16.5" customHeight="1" hidden="1">
      <c r="A45" s="320"/>
      <c r="B45" s="420"/>
      <c r="C45" s="403"/>
      <c r="D45" s="418"/>
      <c r="E45" s="418"/>
      <c r="F45" s="403"/>
      <c r="G45" s="405"/>
    </row>
    <row r="46" spans="1:7" ht="15.75" customHeight="1" hidden="1">
      <c r="A46" s="328"/>
      <c r="B46" s="421" t="s">
        <v>51</v>
      </c>
      <c r="C46" s="403"/>
      <c r="D46" s="418"/>
      <c r="E46" s="422">
        <f>SUM(F46:G46)</f>
        <v>0</v>
      </c>
      <c r="F46" s="423">
        <v>0</v>
      </c>
      <c r="G46" s="424">
        <v>0</v>
      </c>
    </row>
    <row r="47" spans="1:7" ht="15.75" customHeight="1" hidden="1">
      <c r="A47" s="328"/>
      <c r="B47" s="421" t="s">
        <v>52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ht="15.75" thickBot="1">
      <c r="A48" s="328"/>
      <c r="B48" s="425" t="s">
        <v>176</v>
      </c>
      <c r="C48" s="403"/>
      <c r="D48" s="418"/>
      <c r="E48" s="381">
        <f>SUM(F48:G48)</f>
        <v>34000</v>
      </c>
      <c r="F48" s="379">
        <v>34000</v>
      </c>
      <c r="G48" s="382">
        <v>0</v>
      </c>
    </row>
    <row r="49" spans="1:7" ht="18" customHeight="1" thickBot="1">
      <c r="A49" s="186" t="s">
        <v>11</v>
      </c>
      <c r="B49" s="426"/>
      <c r="C49" s="427"/>
      <c r="D49" s="428"/>
      <c r="E49" s="429">
        <f>SUM(E50:E70)+E72+E77</f>
        <v>2380438</v>
      </c>
      <c r="F49" s="429">
        <f>SUM(F50:F70)+F72+F77</f>
        <v>1580438</v>
      </c>
      <c r="G49" s="429">
        <f>SUM(G50:G70)+G72+G77</f>
        <v>800000</v>
      </c>
    </row>
    <row r="50" spans="1:7" ht="32.25" customHeight="1">
      <c r="A50" s="181" t="s">
        <v>3</v>
      </c>
      <c r="B50" s="430" t="s">
        <v>114</v>
      </c>
      <c r="C50" s="397"/>
      <c r="D50" s="431"/>
      <c r="E50" s="432">
        <f aca="true" t="shared" si="2" ref="E50:E66">SUM(F50:G50)</f>
        <v>500000</v>
      </c>
      <c r="F50" s="432">
        <f>0+500000</f>
        <v>500000</v>
      </c>
      <c r="G50" s="433">
        <f>500000-500000</f>
        <v>0</v>
      </c>
    </row>
    <row r="51" spans="1:7" ht="33.75" customHeight="1">
      <c r="A51" s="217"/>
      <c r="B51" s="434" t="s">
        <v>168</v>
      </c>
      <c r="C51" s="435"/>
      <c r="D51" s="435"/>
      <c r="E51" s="401">
        <f t="shared" si="2"/>
        <v>10488</v>
      </c>
      <c r="F51" s="435">
        <v>10488</v>
      </c>
      <c r="G51" s="382">
        <v>0</v>
      </c>
    </row>
    <row r="52" spans="1:7" ht="32.25" customHeight="1" thickBot="1">
      <c r="A52" s="218"/>
      <c r="B52" s="436" t="s">
        <v>184</v>
      </c>
      <c r="C52" s="437">
        <v>15000</v>
      </c>
      <c r="D52" s="438">
        <v>15000</v>
      </c>
      <c r="E52" s="439">
        <f t="shared" si="2"/>
        <v>50000</v>
      </c>
      <c r="F52" s="439">
        <v>50000</v>
      </c>
      <c r="G52" s="440">
        <v>0</v>
      </c>
    </row>
    <row r="53" spans="1:8" ht="15.75" customHeight="1">
      <c r="A53" s="219" t="s">
        <v>44</v>
      </c>
      <c r="B53" s="441" t="s">
        <v>129</v>
      </c>
      <c r="C53" s="397">
        <v>15000</v>
      </c>
      <c r="D53" s="398">
        <v>15000</v>
      </c>
      <c r="E53" s="399">
        <f t="shared" si="2"/>
        <v>50000</v>
      </c>
      <c r="F53" s="442">
        <v>50000</v>
      </c>
      <c r="G53" s="443">
        <v>0</v>
      </c>
      <c r="H53" s="335"/>
    </row>
    <row r="54" spans="1:8" ht="15" customHeight="1">
      <c r="A54" s="221"/>
      <c r="B54" s="413" t="s">
        <v>130</v>
      </c>
      <c r="C54" s="379"/>
      <c r="D54" s="380"/>
      <c r="E54" s="381">
        <f t="shared" si="2"/>
        <v>10000</v>
      </c>
      <c r="F54" s="444">
        <v>10000</v>
      </c>
      <c r="G54" s="445">
        <v>0</v>
      </c>
      <c r="H54" s="313" t="s">
        <v>131</v>
      </c>
    </row>
    <row r="55" spans="1:8" ht="16.5" customHeight="1">
      <c r="A55" s="222"/>
      <c r="B55" s="394" t="s">
        <v>132</v>
      </c>
      <c r="C55" s="379"/>
      <c r="D55" s="380"/>
      <c r="E55" s="381">
        <f t="shared" si="2"/>
        <v>40000</v>
      </c>
      <c r="F55" s="444">
        <v>40000</v>
      </c>
      <c r="G55" s="445">
        <v>0</v>
      </c>
      <c r="H55" s="313" t="s">
        <v>133</v>
      </c>
    </row>
    <row r="56" spans="1:8" ht="18" customHeight="1">
      <c r="A56" s="222"/>
      <c r="B56" s="394" t="s">
        <v>68</v>
      </c>
      <c r="C56" s="379"/>
      <c r="D56" s="380"/>
      <c r="E56" s="381">
        <f t="shared" si="2"/>
        <v>14000</v>
      </c>
      <c r="F56" s="444">
        <v>14000</v>
      </c>
      <c r="G56" s="445">
        <v>0</v>
      </c>
      <c r="H56" s="313" t="s">
        <v>134</v>
      </c>
    </row>
    <row r="57" spans="1:8" ht="16.5" customHeight="1">
      <c r="A57" s="222"/>
      <c r="B57" s="378" t="s">
        <v>149</v>
      </c>
      <c r="C57" s="435"/>
      <c r="D57" s="435"/>
      <c r="E57" s="401">
        <f t="shared" si="2"/>
        <v>66000</v>
      </c>
      <c r="F57" s="435">
        <v>66000</v>
      </c>
      <c r="G57" s="382">
        <v>0</v>
      </c>
      <c r="H57" s="313" t="s">
        <v>135</v>
      </c>
    </row>
    <row r="58" spans="1:7" ht="18" customHeight="1">
      <c r="A58" s="223"/>
      <c r="B58" s="434" t="s">
        <v>123</v>
      </c>
      <c r="C58" s="435"/>
      <c r="D58" s="435"/>
      <c r="E58" s="401">
        <f t="shared" si="2"/>
        <v>25000</v>
      </c>
      <c r="F58" s="435">
        <v>25000</v>
      </c>
      <c r="G58" s="382">
        <v>0</v>
      </c>
    </row>
    <row r="59" spans="1:7" ht="16.5" customHeight="1">
      <c r="A59" s="223"/>
      <c r="B59" s="434" t="s">
        <v>115</v>
      </c>
      <c r="C59" s="435"/>
      <c r="D59" s="435"/>
      <c r="E59" s="401">
        <f t="shared" si="2"/>
        <v>15000</v>
      </c>
      <c r="F59" s="435">
        <v>15000</v>
      </c>
      <c r="G59" s="382">
        <v>0</v>
      </c>
    </row>
    <row r="60" spans="1:7" ht="16.5" customHeight="1">
      <c r="A60" s="223"/>
      <c r="B60" s="434" t="s">
        <v>182</v>
      </c>
      <c r="C60" s="435"/>
      <c r="D60" s="435"/>
      <c r="E60" s="401">
        <f>SUM(F60:G60)</f>
        <v>381000</v>
      </c>
      <c r="F60" s="435">
        <v>381000</v>
      </c>
      <c r="G60" s="382">
        <v>0</v>
      </c>
    </row>
    <row r="61" spans="1:8" ht="16.5" customHeight="1">
      <c r="A61" s="223"/>
      <c r="B61" s="434" t="s">
        <v>124</v>
      </c>
      <c r="C61" s="435">
        <v>12500</v>
      </c>
      <c r="D61" s="435">
        <v>12500</v>
      </c>
      <c r="E61" s="401">
        <f t="shared" si="2"/>
        <v>0</v>
      </c>
      <c r="F61" s="435">
        <v>0</v>
      </c>
      <c r="G61" s="382">
        <v>0</v>
      </c>
      <c r="H61" s="313" t="s">
        <v>70</v>
      </c>
    </row>
    <row r="62" spans="1:7" ht="16.5" customHeight="1">
      <c r="A62" s="223"/>
      <c r="B62" s="434" t="s">
        <v>180</v>
      </c>
      <c r="C62" s="435"/>
      <c r="D62" s="435"/>
      <c r="E62" s="401">
        <f t="shared" si="2"/>
        <v>3950</v>
      </c>
      <c r="F62" s="435">
        <v>3950</v>
      </c>
      <c r="G62" s="382"/>
    </row>
    <row r="63" spans="1:7" ht="16.5" customHeight="1">
      <c r="A63" s="223"/>
      <c r="B63" s="434" t="s">
        <v>181</v>
      </c>
      <c r="C63" s="435"/>
      <c r="D63" s="435"/>
      <c r="E63" s="401">
        <f t="shared" si="2"/>
        <v>0</v>
      </c>
      <c r="F63" s="435">
        <f>3050-3050</f>
        <v>0</v>
      </c>
      <c r="G63" s="382"/>
    </row>
    <row r="64" spans="1:7" ht="18" customHeight="1">
      <c r="A64" s="223"/>
      <c r="B64" s="434" t="s">
        <v>136</v>
      </c>
      <c r="C64" s="435">
        <v>12500</v>
      </c>
      <c r="D64" s="435">
        <v>12500</v>
      </c>
      <c r="E64" s="401">
        <f t="shared" si="2"/>
        <v>0</v>
      </c>
      <c r="F64" s="435">
        <f>105000-105000</f>
        <v>0</v>
      </c>
      <c r="G64" s="382">
        <v>0</v>
      </c>
    </row>
    <row r="65" spans="1:7" ht="17.25" customHeight="1">
      <c r="A65" s="223"/>
      <c r="B65" s="336" t="s">
        <v>170</v>
      </c>
      <c r="C65" s="337"/>
      <c r="D65" s="337"/>
      <c r="E65" s="338">
        <f t="shared" si="2"/>
        <v>360000</v>
      </c>
      <c r="F65" s="337">
        <f>350000+10000</f>
        <v>360000</v>
      </c>
      <c r="G65" s="319">
        <v>0</v>
      </c>
    </row>
    <row r="66" spans="1:7" ht="16.5" customHeight="1">
      <c r="A66" s="223"/>
      <c r="B66" s="434" t="s">
        <v>171</v>
      </c>
      <c r="C66" s="435"/>
      <c r="D66" s="435"/>
      <c r="E66" s="401">
        <f t="shared" si="2"/>
        <v>0</v>
      </c>
      <c r="F66" s="435">
        <f>160000-160000</f>
        <v>0</v>
      </c>
      <c r="G66" s="382">
        <v>0</v>
      </c>
    </row>
    <row r="67" spans="1:7" ht="16.5" customHeight="1" hidden="1">
      <c r="A67" s="754" t="s">
        <v>6</v>
      </c>
      <c r="B67" s="822" t="s">
        <v>7</v>
      </c>
      <c r="C67" s="446" t="s">
        <v>18</v>
      </c>
      <c r="D67" s="446" t="s">
        <v>8</v>
      </c>
      <c r="E67" s="824" t="s">
        <v>47</v>
      </c>
      <c r="F67" s="826" t="s">
        <v>19</v>
      </c>
      <c r="G67" s="827"/>
    </row>
    <row r="68" spans="1:7" ht="16.5" customHeight="1" hidden="1">
      <c r="A68" s="777"/>
      <c r="B68" s="823"/>
      <c r="C68" s="446" t="s">
        <v>0</v>
      </c>
      <c r="D68" s="446" t="s">
        <v>14</v>
      </c>
      <c r="E68" s="825"/>
      <c r="F68" s="828" t="s">
        <v>13</v>
      </c>
      <c r="G68" s="829" t="s">
        <v>20</v>
      </c>
    </row>
    <row r="69" spans="1:7" ht="16.5" customHeight="1" hidden="1">
      <c r="A69" s="778"/>
      <c r="B69" s="823"/>
      <c r="C69" s="446"/>
      <c r="D69" s="446" t="s">
        <v>15</v>
      </c>
      <c r="E69" s="825"/>
      <c r="F69" s="825"/>
      <c r="G69" s="830"/>
    </row>
    <row r="70" spans="1:7" ht="16.5" customHeight="1" hidden="1">
      <c r="A70" s="325"/>
      <c r="B70" s="447" t="s">
        <v>105</v>
      </c>
      <c r="C70" s="448"/>
      <c r="D70" s="448"/>
      <c r="E70" s="449">
        <f>SUM(F70:G70)</f>
        <v>0</v>
      </c>
      <c r="F70" s="448">
        <v>0</v>
      </c>
      <c r="G70" s="450"/>
    </row>
    <row r="71" ht="19.5" customHeight="1" hidden="1">
      <c r="A71" s="223"/>
    </row>
    <row r="72" spans="1:7" ht="39.75" customHeight="1" hidden="1">
      <c r="A72" s="182" t="s">
        <v>29</v>
      </c>
      <c r="B72" s="415" t="s">
        <v>34</v>
      </c>
      <c r="C72" s="452"/>
      <c r="D72" s="453"/>
      <c r="E72" s="442">
        <f>SUM(F72:G72)</f>
        <v>0</v>
      </c>
      <c r="F72" s="443">
        <f>SUM(F73:F76)</f>
        <v>0</v>
      </c>
      <c r="G72" s="443">
        <v>0</v>
      </c>
    </row>
    <row r="73" spans="1:7" ht="16.5" customHeight="1" hidden="1">
      <c r="A73" s="224"/>
      <c r="B73" s="454" t="s">
        <v>30</v>
      </c>
      <c r="C73" s="455"/>
      <c r="D73" s="456"/>
      <c r="E73" s="457"/>
      <c r="F73" s="458">
        <v>0</v>
      </c>
      <c r="G73" s="458">
        <v>0</v>
      </c>
    </row>
    <row r="74" spans="1:7" ht="16.5" customHeight="1" hidden="1">
      <c r="A74" s="208"/>
      <c r="B74" s="459" t="s">
        <v>31</v>
      </c>
      <c r="C74" s="460"/>
      <c r="D74" s="461"/>
      <c r="E74" s="462"/>
      <c r="F74" s="463">
        <v>0</v>
      </c>
      <c r="G74" s="463">
        <v>0</v>
      </c>
    </row>
    <row r="75" spans="1:7" ht="16.5" customHeight="1" hidden="1">
      <c r="A75" s="208"/>
      <c r="B75" s="459" t="s">
        <v>32</v>
      </c>
      <c r="C75" s="460"/>
      <c r="D75" s="461"/>
      <c r="E75" s="462"/>
      <c r="F75" s="463">
        <v>0</v>
      </c>
      <c r="G75" s="463">
        <v>0</v>
      </c>
    </row>
    <row r="76" spans="1:7" ht="16.5" customHeight="1" hidden="1">
      <c r="A76" s="225"/>
      <c r="B76" s="464" t="s">
        <v>33</v>
      </c>
      <c r="C76" s="465"/>
      <c r="D76" s="466"/>
      <c r="E76" s="467"/>
      <c r="F76" s="468">
        <v>0</v>
      </c>
      <c r="G76" s="468">
        <v>0</v>
      </c>
    </row>
    <row r="77" spans="1:7" ht="16.5" customHeight="1" thickBot="1">
      <c r="A77" s="225"/>
      <c r="B77" s="336" t="s">
        <v>177</v>
      </c>
      <c r="C77" s="337"/>
      <c r="D77" s="337"/>
      <c r="E77" s="338">
        <f aca="true" t="shared" si="3" ref="E77:E84">SUM(F77:G77)</f>
        <v>855000</v>
      </c>
      <c r="F77" s="337">
        <f>865000-800000-10000</f>
        <v>55000</v>
      </c>
      <c r="G77" s="319">
        <f>0+800000</f>
        <v>800000</v>
      </c>
    </row>
    <row r="78" spans="1:7" ht="16.5" customHeight="1" thickBot="1">
      <c r="A78" s="185" t="s">
        <v>137</v>
      </c>
      <c r="B78" s="469"/>
      <c r="C78" s="470"/>
      <c r="D78" s="471"/>
      <c r="E78" s="472">
        <f t="shared" si="3"/>
        <v>35000</v>
      </c>
      <c r="F78" s="473">
        <f>SUM(F79:F80)</f>
        <v>35000</v>
      </c>
      <c r="G78" s="474">
        <f>SUM(G79:G81)</f>
        <v>0</v>
      </c>
    </row>
    <row r="79" spans="1:7" ht="30" customHeight="1" thickBot="1">
      <c r="A79" s="225" t="s">
        <v>138</v>
      </c>
      <c r="B79" s="425" t="s">
        <v>139</v>
      </c>
      <c r="C79" s="465"/>
      <c r="D79" s="466"/>
      <c r="E79" s="399">
        <f t="shared" si="3"/>
        <v>15000</v>
      </c>
      <c r="F79" s="475">
        <v>15000</v>
      </c>
      <c r="G79" s="424">
        <v>0</v>
      </c>
    </row>
    <row r="80" spans="1:7" ht="19.5" customHeight="1" thickBot="1">
      <c r="A80" s="229"/>
      <c r="B80" s="425" t="s">
        <v>140</v>
      </c>
      <c r="C80" s="465"/>
      <c r="D80" s="466"/>
      <c r="E80" s="399">
        <f t="shared" si="3"/>
        <v>20000</v>
      </c>
      <c r="F80" s="475">
        <v>20000</v>
      </c>
      <c r="G80" s="424">
        <v>0</v>
      </c>
    </row>
    <row r="81" spans="1:7" ht="15.75" customHeight="1" thickBot="1">
      <c r="A81" s="185" t="s">
        <v>36</v>
      </c>
      <c r="B81" s="476"/>
      <c r="C81" s="477"/>
      <c r="D81" s="477"/>
      <c r="E81" s="478">
        <f t="shared" si="3"/>
        <v>35100</v>
      </c>
      <c r="F81" s="479">
        <f>SUM(F82:F84)</f>
        <v>35100</v>
      </c>
      <c r="G81" s="479">
        <f>SUM(G82:G96)</f>
        <v>0</v>
      </c>
    </row>
    <row r="82" spans="1:7" ht="17.25" customHeight="1" thickBot="1">
      <c r="A82" s="2" t="s">
        <v>4</v>
      </c>
      <c r="B82" s="480" t="s">
        <v>169</v>
      </c>
      <c r="C82" s="481"/>
      <c r="D82" s="482"/>
      <c r="E82" s="483">
        <f t="shared" si="3"/>
        <v>5100</v>
      </c>
      <c r="F82" s="484">
        <v>5100</v>
      </c>
      <c r="G82" s="485">
        <v>0</v>
      </c>
    </row>
    <row r="83" spans="1:7" ht="15" customHeight="1" thickBot="1">
      <c r="A83" s="177"/>
      <c r="B83" s="480" t="s">
        <v>172</v>
      </c>
      <c r="C83" s="481"/>
      <c r="D83" s="482"/>
      <c r="E83" s="483">
        <f t="shared" si="3"/>
        <v>20000</v>
      </c>
      <c r="F83" s="484">
        <f>45000-25000</f>
        <v>20000</v>
      </c>
      <c r="G83" s="485">
        <v>0</v>
      </c>
    </row>
    <row r="84" spans="1:7" ht="22.5" customHeight="1" thickBot="1">
      <c r="A84" s="182" t="s">
        <v>106</v>
      </c>
      <c r="B84" s="486" t="s">
        <v>125</v>
      </c>
      <c r="C84" s="481"/>
      <c r="D84" s="482"/>
      <c r="E84" s="487">
        <f t="shared" si="3"/>
        <v>10000</v>
      </c>
      <c r="F84" s="488">
        <v>10000</v>
      </c>
      <c r="G84" s="485">
        <v>0</v>
      </c>
    </row>
    <row r="85" spans="1:7" ht="15" customHeight="1" hidden="1">
      <c r="A85" s="177"/>
      <c r="B85" s="489"/>
      <c r="C85" s="490"/>
      <c r="D85" s="490"/>
      <c r="E85" s="491"/>
      <c r="F85" s="492"/>
      <c r="G85" s="463"/>
    </row>
    <row r="86" spans="1:7" ht="15" customHeight="1" hidden="1">
      <c r="A86" s="177"/>
      <c r="B86" s="489"/>
      <c r="C86" s="490"/>
      <c r="D86" s="490"/>
      <c r="E86" s="491"/>
      <c r="F86" s="492"/>
      <c r="G86" s="463"/>
    </row>
    <row r="87" spans="1:7" ht="26.25" customHeight="1" thickBot="1">
      <c r="A87" s="185" t="s">
        <v>66</v>
      </c>
      <c r="B87" s="476"/>
      <c r="C87" s="477"/>
      <c r="D87" s="477"/>
      <c r="E87" s="478">
        <f aca="true" t="shared" si="4" ref="E87:E92">SUM(F87:G87)</f>
        <v>60000</v>
      </c>
      <c r="F87" s="479">
        <f>SUM(F88:F89)</f>
        <v>60000</v>
      </c>
      <c r="G87" s="479">
        <f>SUM(G88:G98)</f>
        <v>0</v>
      </c>
    </row>
    <row r="88" spans="1:7" ht="31.5" customHeight="1" hidden="1">
      <c r="A88" s="183" t="s">
        <v>48</v>
      </c>
      <c r="B88" s="493" t="s">
        <v>49</v>
      </c>
      <c r="C88" s="437"/>
      <c r="D88" s="438"/>
      <c r="E88" s="494">
        <f t="shared" si="4"/>
        <v>0</v>
      </c>
      <c r="F88" s="437">
        <v>0</v>
      </c>
      <c r="G88" s="495">
        <v>0</v>
      </c>
    </row>
    <row r="89" spans="1:8" ht="15.75" thickBot="1">
      <c r="A89" s="183" t="s">
        <v>65</v>
      </c>
      <c r="B89" s="493" t="s">
        <v>173</v>
      </c>
      <c r="C89" s="437"/>
      <c r="D89" s="438"/>
      <c r="E89" s="494">
        <f t="shared" si="4"/>
        <v>60000</v>
      </c>
      <c r="F89" s="437">
        <f>35000+25000</f>
        <v>60000</v>
      </c>
      <c r="G89" s="495">
        <v>0</v>
      </c>
      <c r="H89" s="313" t="s">
        <v>109</v>
      </c>
    </row>
    <row r="90" spans="1:7" ht="14.25" customHeight="1" thickBot="1">
      <c r="A90" s="185" t="s">
        <v>60</v>
      </c>
      <c r="B90" s="469"/>
      <c r="C90" s="470"/>
      <c r="D90" s="471"/>
      <c r="E90" s="472">
        <f t="shared" si="4"/>
        <v>342</v>
      </c>
      <c r="F90" s="473">
        <f>SUM(F91)</f>
        <v>342</v>
      </c>
      <c r="G90" s="474">
        <f>SUM(G91:G92)</f>
        <v>0</v>
      </c>
    </row>
    <row r="91" spans="1:7" ht="16.5" customHeight="1" thickBot="1">
      <c r="A91" s="229" t="s">
        <v>61</v>
      </c>
      <c r="B91" s="425" t="s">
        <v>62</v>
      </c>
      <c r="C91" s="465"/>
      <c r="D91" s="466"/>
      <c r="E91" s="399">
        <f t="shared" si="4"/>
        <v>342</v>
      </c>
      <c r="F91" s="475">
        <v>342</v>
      </c>
      <c r="G91" s="424">
        <v>0</v>
      </c>
    </row>
    <row r="92" spans="1:7" ht="28.5" customHeight="1" hidden="1">
      <c r="A92" s="183" t="s">
        <v>48</v>
      </c>
      <c r="B92" s="493" t="s">
        <v>49</v>
      </c>
      <c r="C92" s="437"/>
      <c r="D92" s="438"/>
      <c r="E92" s="494">
        <f t="shared" si="4"/>
        <v>0</v>
      </c>
      <c r="F92" s="437">
        <v>0</v>
      </c>
      <c r="G92" s="495">
        <v>0</v>
      </c>
    </row>
    <row r="93" spans="1:7" ht="12.75" customHeight="1" hidden="1">
      <c r="A93" s="751" t="s">
        <v>6</v>
      </c>
      <c r="B93" s="785" t="s">
        <v>7</v>
      </c>
      <c r="C93" s="406" t="s">
        <v>18</v>
      </c>
      <c r="D93" s="407" t="s">
        <v>8</v>
      </c>
      <c r="E93" s="787" t="s">
        <v>96</v>
      </c>
      <c r="F93" s="834" t="s">
        <v>19</v>
      </c>
      <c r="G93" s="835"/>
    </row>
    <row r="94" spans="1:7" ht="12.75" customHeight="1" hidden="1">
      <c r="A94" s="779"/>
      <c r="B94" s="831"/>
      <c r="C94" s="408" t="s">
        <v>0</v>
      </c>
      <c r="D94" s="409" t="s">
        <v>14</v>
      </c>
      <c r="E94" s="788"/>
      <c r="F94" s="836" t="s">
        <v>54</v>
      </c>
      <c r="G94" s="838" t="s">
        <v>55</v>
      </c>
    </row>
    <row r="95" spans="1:7" ht="10.5" customHeight="1" hidden="1">
      <c r="A95" s="780"/>
      <c r="B95" s="832"/>
      <c r="C95" s="410"/>
      <c r="D95" s="411" t="s">
        <v>15</v>
      </c>
      <c r="E95" s="833"/>
      <c r="F95" s="837"/>
      <c r="G95" s="839"/>
    </row>
    <row r="96" spans="1:7" ht="20.25" customHeight="1" hidden="1">
      <c r="A96" s="188"/>
      <c r="B96" s="496" t="s">
        <v>38</v>
      </c>
      <c r="C96" s="460"/>
      <c r="D96" s="461"/>
      <c r="E96" s="483">
        <f aca="true" t="shared" si="5" ref="E96:E114">SUM(F96:G96)</f>
        <v>0</v>
      </c>
      <c r="F96" s="484">
        <v>0</v>
      </c>
      <c r="G96" s="485">
        <v>0</v>
      </c>
    </row>
    <row r="97" spans="1:9" s="304" customFormat="1" ht="16.5" customHeight="1" thickBot="1">
      <c r="A97" s="185" t="s">
        <v>12</v>
      </c>
      <c r="B97" s="497"/>
      <c r="C97" s="498">
        <v>12500</v>
      </c>
      <c r="D97" s="499">
        <v>12500</v>
      </c>
      <c r="E97" s="472">
        <f t="shared" si="5"/>
        <v>2058387</v>
      </c>
      <c r="F97" s="500">
        <f>SUM(F98:F108)+F109</f>
        <v>2058387</v>
      </c>
      <c r="G97" s="474">
        <f>SUM(G98:G102)</f>
        <v>0</v>
      </c>
      <c r="H97" s="207"/>
      <c r="I97" s="207"/>
    </row>
    <row r="98" spans="1:9" s="304" customFormat="1" ht="18.75" customHeight="1">
      <c r="A98" s="293" t="s">
        <v>26</v>
      </c>
      <c r="B98" s="416" t="s">
        <v>101</v>
      </c>
      <c r="C98" s="501"/>
      <c r="D98" s="502"/>
      <c r="E98" s="381">
        <f t="shared" si="5"/>
        <v>550000</v>
      </c>
      <c r="F98" s="503">
        <v>550000</v>
      </c>
      <c r="G98" s="445">
        <v>0</v>
      </c>
      <c r="H98" s="207"/>
      <c r="I98" s="207"/>
    </row>
    <row r="99" spans="1:9" s="304" customFormat="1" ht="21" customHeight="1">
      <c r="A99" s="294"/>
      <c r="B99" s="416" t="s">
        <v>112</v>
      </c>
      <c r="C99" s="501"/>
      <c r="D99" s="502"/>
      <c r="E99" s="381">
        <f t="shared" si="5"/>
        <v>1245687</v>
      </c>
      <c r="F99" s="503">
        <f>1205687+40000</f>
        <v>1245687</v>
      </c>
      <c r="G99" s="445">
        <v>0</v>
      </c>
      <c r="H99" s="207"/>
      <c r="I99" s="207"/>
    </row>
    <row r="100" spans="1:9" s="304" customFormat="1" ht="19.5" customHeight="1">
      <c r="A100" s="295"/>
      <c r="B100" s="415" t="s">
        <v>92</v>
      </c>
      <c r="C100" s="504">
        <v>47000</v>
      </c>
      <c r="D100" s="505">
        <v>47000</v>
      </c>
      <c r="E100" s="399">
        <f t="shared" si="5"/>
        <v>10000</v>
      </c>
      <c r="F100" s="506">
        <v>10000</v>
      </c>
      <c r="G100" s="443">
        <v>0</v>
      </c>
      <c r="H100" s="207"/>
      <c r="I100" s="207"/>
    </row>
    <row r="101" spans="1:9" s="304" customFormat="1" ht="18" customHeight="1" thickBot="1">
      <c r="A101" s="296"/>
      <c r="B101" s="507" t="s">
        <v>122</v>
      </c>
      <c r="C101" s="508"/>
      <c r="D101" s="508"/>
      <c r="E101" s="399">
        <f t="shared" si="5"/>
        <v>7000</v>
      </c>
      <c r="F101" s="506">
        <v>7000</v>
      </c>
      <c r="G101" s="443"/>
      <c r="H101" s="207"/>
      <c r="I101" s="207"/>
    </row>
    <row r="102" spans="1:9" s="304" customFormat="1" ht="17.25" customHeight="1">
      <c r="A102" s="259" t="s">
        <v>27</v>
      </c>
      <c r="B102" s="415" t="s">
        <v>174</v>
      </c>
      <c r="C102" s="501"/>
      <c r="D102" s="502"/>
      <c r="E102" s="444">
        <f t="shared" si="5"/>
        <v>240000</v>
      </c>
      <c r="F102" s="503">
        <f>210000+30000</f>
        <v>240000</v>
      </c>
      <c r="G102" s="445">
        <v>0</v>
      </c>
      <c r="H102" s="207"/>
      <c r="I102" s="207"/>
    </row>
    <row r="103" spans="1:7" ht="15.75" hidden="1">
      <c r="A103" s="184" t="s">
        <v>63</v>
      </c>
      <c r="B103" s="416"/>
      <c r="C103" s="379"/>
      <c r="D103" s="380"/>
      <c r="E103" s="509">
        <f t="shared" si="5"/>
        <v>0</v>
      </c>
      <c r="F103" s="510">
        <f>SUM(F104)</f>
        <v>0</v>
      </c>
      <c r="G103" s="511">
        <f>SUM(G104)</f>
        <v>0</v>
      </c>
    </row>
    <row r="104" spans="1:7" ht="24" customHeight="1" hidden="1">
      <c r="A104" s="1" t="s">
        <v>64</v>
      </c>
      <c r="B104" s="493" t="s">
        <v>87</v>
      </c>
      <c r="C104" s="437"/>
      <c r="D104" s="438"/>
      <c r="E104" s="512">
        <f t="shared" si="5"/>
        <v>0</v>
      </c>
      <c r="F104" s="439">
        <v>0</v>
      </c>
      <c r="G104" s="440">
        <v>0</v>
      </c>
    </row>
    <row r="105" spans="1:7" ht="24" customHeight="1" hidden="1">
      <c r="A105" s="260"/>
      <c r="B105" s="416" t="s">
        <v>110</v>
      </c>
      <c r="C105" s="501"/>
      <c r="D105" s="502"/>
      <c r="E105" s="444">
        <f t="shared" si="5"/>
        <v>0</v>
      </c>
      <c r="F105" s="503">
        <v>0</v>
      </c>
      <c r="G105" s="513">
        <v>0</v>
      </c>
    </row>
    <row r="106" spans="1:7" ht="16.5" customHeight="1" hidden="1">
      <c r="A106" s="165"/>
      <c r="B106" s="416" t="s">
        <v>111</v>
      </c>
      <c r="C106" s="501"/>
      <c r="D106" s="502"/>
      <c r="E106" s="444">
        <f t="shared" si="5"/>
        <v>0</v>
      </c>
      <c r="F106" s="503">
        <v>0</v>
      </c>
      <c r="G106" s="445">
        <v>0</v>
      </c>
    </row>
    <row r="107" spans="1:7" ht="18" customHeight="1" hidden="1">
      <c r="A107" s="166" t="s">
        <v>99</v>
      </c>
      <c r="B107" s="416" t="s">
        <v>100</v>
      </c>
      <c r="C107" s="501"/>
      <c r="D107" s="502"/>
      <c r="E107" s="444">
        <f t="shared" si="5"/>
        <v>0</v>
      </c>
      <c r="F107" s="503">
        <v>0</v>
      </c>
      <c r="G107" s="445">
        <v>0</v>
      </c>
    </row>
    <row r="108" spans="1:7" ht="18" customHeight="1" hidden="1">
      <c r="A108" s="179"/>
      <c r="B108" s="415" t="s">
        <v>92</v>
      </c>
      <c r="C108" s="504">
        <v>47000</v>
      </c>
      <c r="D108" s="505">
        <v>47000</v>
      </c>
      <c r="E108" s="399">
        <f t="shared" si="5"/>
        <v>0</v>
      </c>
      <c r="F108" s="506">
        <v>0</v>
      </c>
      <c r="G108" s="443">
        <v>0</v>
      </c>
    </row>
    <row r="109" spans="1:7" ht="18" customHeight="1" thickBot="1">
      <c r="A109" s="179" t="s">
        <v>178</v>
      </c>
      <c r="B109" s="496" t="s">
        <v>179</v>
      </c>
      <c r="C109" s="514"/>
      <c r="D109" s="515"/>
      <c r="E109" s="444">
        <f t="shared" si="5"/>
        <v>5700</v>
      </c>
      <c r="F109" s="503">
        <v>5700</v>
      </c>
      <c r="G109" s="445">
        <v>0</v>
      </c>
    </row>
    <row r="110" spans="1:7" ht="18" customHeight="1" thickBot="1">
      <c r="A110" s="185" t="s">
        <v>107</v>
      </c>
      <c r="B110" s="497"/>
      <c r="C110" s="498">
        <v>12500</v>
      </c>
      <c r="D110" s="499">
        <v>12500</v>
      </c>
      <c r="E110" s="472">
        <f t="shared" si="5"/>
        <v>50000</v>
      </c>
      <c r="F110" s="516">
        <f>SUM(F111)</f>
        <v>50000</v>
      </c>
      <c r="G110" s="474">
        <f>SUM(G111)</f>
        <v>0</v>
      </c>
    </row>
    <row r="111" spans="1:7" ht="20.25" customHeight="1" thickBot="1">
      <c r="A111" s="3" t="s">
        <v>108</v>
      </c>
      <c r="B111" s="416" t="s">
        <v>162</v>
      </c>
      <c r="C111" s="501"/>
      <c r="D111" s="502"/>
      <c r="E111" s="381">
        <f t="shared" si="5"/>
        <v>50000</v>
      </c>
      <c r="F111" s="503">
        <v>50000</v>
      </c>
      <c r="G111" s="445">
        <v>0</v>
      </c>
    </row>
    <row r="112" spans="1:7" ht="31.5" customHeight="1" thickBot="1">
      <c r="A112" s="186" t="s">
        <v>9</v>
      </c>
      <c r="B112" s="426"/>
      <c r="C112" s="427">
        <v>40000</v>
      </c>
      <c r="D112" s="517">
        <v>40000</v>
      </c>
      <c r="E112" s="472">
        <f t="shared" si="5"/>
        <v>143500</v>
      </c>
      <c r="F112" s="518">
        <f>SUM(F114:F119)</f>
        <v>143500</v>
      </c>
      <c r="G112" s="519">
        <f>SUM(G114:G119)</f>
        <v>0</v>
      </c>
    </row>
    <row r="113" spans="1:7" ht="13.5" customHeight="1" hidden="1">
      <c r="A113" s="230"/>
      <c r="B113" s="520"/>
      <c r="C113" s="521"/>
      <c r="D113" s="522"/>
      <c r="E113" s="399">
        <f t="shared" si="5"/>
        <v>0</v>
      </c>
      <c r="F113" s="523"/>
      <c r="G113" s="511"/>
    </row>
    <row r="114" spans="1:7" ht="19.5" customHeight="1" hidden="1">
      <c r="A114" s="231" t="s">
        <v>89</v>
      </c>
      <c r="B114" s="524" t="s">
        <v>91</v>
      </c>
      <c r="C114" s="525">
        <v>36475</v>
      </c>
      <c r="D114" s="526">
        <v>36475</v>
      </c>
      <c r="E114" s="494">
        <f t="shared" si="5"/>
        <v>0</v>
      </c>
      <c r="F114" s="527">
        <v>0</v>
      </c>
      <c r="G114" s="440">
        <v>0</v>
      </c>
    </row>
    <row r="115" spans="1:7" ht="15.75" customHeight="1" hidden="1">
      <c r="A115" s="751" t="s">
        <v>6</v>
      </c>
      <c r="B115" s="785" t="s">
        <v>7</v>
      </c>
      <c r="C115" s="406" t="s">
        <v>18</v>
      </c>
      <c r="D115" s="407" t="s">
        <v>8</v>
      </c>
      <c r="E115" s="813" t="s">
        <v>37</v>
      </c>
      <c r="F115" s="816" t="s">
        <v>19</v>
      </c>
      <c r="G115" s="817"/>
    </row>
    <row r="116" spans="1:7" ht="16.5" hidden="1" thickBot="1">
      <c r="A116" s="779"/>
      <c r="B116" s="831"/>
      <c r="C116" s="408" t="s">
        <v>0</v>
      </c>
      <c r="D116" s="409" t="s">
        <v>14</v>
      </c>
      <c r="E116" s="814"/>
      <c r="F116" s="818" t="s">
        <v>13</v>
      </c>
      <c r="G116" s="820" t="s">
        <v>20</v>
      </c>
    </row>
    <row r="117" spans="1:7" ht="15" customHeight="1" hidden="1">
      <c r="A117" s="780"/>
      <c r="B117" s="832"/>
      <c r="C117" s="410"/>
      <c r="D117" s="411" t="s">
        <v>15</v>
      </c>
      <c r="E117" s="815"/>
      <c r="F117" s="819"/>
      <c r="G117" s="821"/>
    </row>
    <row r="118" spans="1:7" ht="45" customHeight="1" hidden="1">
      <c r="A118" s="231" t="s">
        <v>40</v>
      </c>
      <c r="B118" s="528" t="s">
        <v>41</v>
      </c>
      <c r="C118" s="529">
        <v>36475</v>
      </c>
      <c r="D118" s="530">
        <v>36475</v>
      </c>
      <c r="E118" s="400">
        <f aca="true" t="shared" si="6" ref="E118:E128">SUM(F118:G118)</f>
        <v>0</v>
      </c>
      <c r="F118" s="531">
        <v>0</v>
      </c>
      <c r="G118" s="513">
        <v>0</v>
      </c>
    </row>
    <row r="119" spans="1:7" ht="18" customHeight="1" thickBot="1">
      <c r="A119" s="262" t="s">
        <v>35</v>
      </c>
      <c r="B119" s="532"/>
      <c r="C119" s="533"/>
      <c r="D119" s="534"/>
      <c r="E119" s="535">
        <f t="shared" si="6"/>
        <v>143500</v>
      </c>
      <c r="F119" s="536">
        <f>SUM(F120:F128)</f>
        <v>143500</v>
      </c>
      <c r="G119" s="536">
        <f>SUM(G120:G128)</f>
        <v>0</v>
      </c>
    </row>
    <row r="120" spans="1:7" ht="16.5" customHeight="1">
      <c r="A120" s="263"/>
      <c r="B120" s="537" t="s">
        <v>116</v>
      </c>
      <c r="C120" s="538">
        <v>36475</v>
      </c>
      <c r="D120" s="539">
        <v>36475</v>
      </c>
      <c r="E120" s="540">
        <f t="shared" si="6"/>
        <v>40000</v>
      </c>
      <c r="F120" s="488">
        <v>40000</v>
      </c>
      <c r="G120" s="393">
        <v>0</v>
      </c>
    </row>
    <row r="121" spans="1:7" ht="16.5" customHeight="1">
      <c r="A121" s="223"/>
      <c r="B121" s="541" t="s">
        <v>117</v>
      </c>
      <c r="C121" s="542"/>
      <c r="D121" s="543"/>
      <c r="E121" s="401">
        <f t="shared" si="6"/>
        <v>15000</v>
      </c>
      <c r="F121" s="435">
        <v>15000</v>
      </c>
      <c r="G121" s="382">
        <v>0</v>
      </c>
    </row>
    <row r="122" spans="1:7" ht="18" customHeight="1">
      <c r="A122" s="223"/>
      <c r="B122" s="541" t="s">
        <v>118</v>
      </c>
      <c r="C122" s="538"/>
      <c r="D122" s="539"/>
      <c r="E122" s="401">
        <f t="shared" si="6"/>
        <v>8000</v>
      </c>
      <c r="F122" s="488">
        <v>8000</v>
      </c>
      <c r="G122" s="393">
        <v>0</v>
      </c>
    </row>
    <row r="123" spans="1:7" ht="15.75" customHeight="1">
      <c r="A123" s="223"/>
      <c r="B123" s="544" t="s">
        <v>90</v>
      </c>
      <c r="C123" s="538"/>
      <c r="D123" s="539"/>
      <c r="E123" s="401">
        <f t="shared" si="6"/>
        <v>8200</v>
      </c>
      <c r="F123" s="545">
        <v>8200</v>
      </c>
      <c r="G123" s="393">
        <v>0</v>
      </c>
    </row>
    <row r="124" spans="1:7" ht="16.5" customHeight="1">
      <c r="A124" s="223"/>
      <c r="B124" s="541" t="s">
        <v>119</v>
      </c>
      <c r="C124" s="542"/>
      <c r="D124" s="543"/>
      <c r="E124" s="540">
        <f t="shared" si="6"/>
        <v>3000</v>
      </c>
      <c r="F124" s="546">
        <v>3000</v>
      </c>
      <c r="G124" s="382">
        <v>0</v>
      </c>
    </row>
    <row r="125" spans="1:8" ht="16.5" customHeight="1">
      <c r="A125" s="223"/>
      <c r="B125" s="541" t="s">
        <v>144</v>
      </c>
      <c r="C125" s="542"/>
      <c r="D125" s="543"/>
      <c r="E125" s="540">
        <f t="shared" si="6"/>
        <v>29000</v>
      </c>
      <c r="F125" s="546">
        <v>29000</v>
      </c>
      <c r="G125" s="382"/>
      <c r="H125" s="313" t="s">
        <v>145</v>
      </c>
    </row>
    <row r="126" spans="1:7" ht="17.25" customHeight="1">
      <c r="A126" s="223"/>
      <c r="B126" s="541" t="s">
        <v>121</v>
      </c>
      <c r="C126" s="542"/>
      <c r="D126" s="543"/>
      <c r="E126" s="540">
        <f t="shared" si="6"/>
        <v>3000</v>
      </c>
      <c r="F126" s="546">
        <v>3000</v>
      </c>
      <c r="G126" s="382"/>
    </row>
    <row r="127" spans="1:7" ht="20.25" customHeight="1">
      <c r="A127" s="223"/>
      <c r="B127" s="541" t="s">
        <v>141</v>
      </c>
      <c r="C127" s="542"/>
      <c r="D127" s="543"/>
      <c r="E127" s="540">
        <f t="shared" si="6"/>
        <v>25000</v>
      </c>
      <c r="F127" s="546">
        <v>25000</v>
      </c>
      <c r="G127" s="382"/>
    </row>
    <row r="128" spans="1:8" ht="20.25" customHeight="1" thickBot="1">
      <c r="A128" s="223"/>
      <c r="B128" s="547" t="s">
        <v>120</v>
      </c>
      <c r="C128" s="529"/>
      <c r="D128" s="530"/>
      <c r="E128" s="548">
        <f t="shared" si="6"/>
        <v>12300</v>
      </c>
      <c r="F128" s="549">
        <v>12300</v>
      </c>
      <c r="G128" s="387"/>
      <c r="H128" s="313" t="s">
        <v>160</v>
      </c>
    </row>
    <row r="129" spans="1:7" ht="15" customHeight="1">
      <c r="A129" s="751" t="s">
        <v>6</v>
      </c>
      <c r="B129" s="785" t="s">
        <v>7</v>
      </c>
      <c r="C129" s="406" t="s">
        <v>18</v>
      </c>
      <c r="D129" s="407" t="s">
        <v>8</v>
      </c>
      <c r="E129" s="813" t="s">
        <v>165</v>
      </c>
      <c r="F129" s="816" t="s">
        <v>19</v>
      </c>
      <c r="G129" s="817"/>
    </row>
    <row r="130" spans="1:7" ht="12.75" customHeight="1">
      <c r="A130" s="779"/>
      <c r="B130" s="831"/>
      <c r="C130" s="408" t="s">
        <v>0</v>
      </c>
      <c r="D130" s="409" t="s">
        <v>14</v>
      </c>
      <c r="E130" s="814"/>
      <c r="F130" s="791" t="s">
        <v>13</v>
      </c>
      <c r="G130" s="793" t="str">
        <f>G5</f>
        <v>środki zewnętrzne (zł)</v>
      </c>
    </row>
    <row r="131" spans="1:7" ht="18" customHeight="1" thickBot="1">
      <c r="A131" s="780"/>
      <c r="B131" s="832"/>
      <c r="C131" s="410"/>
      <c r="D131" s="411" t="s">
        <v>15</v>
      </c>
      <c r="E131" s="815"/>
      <c r="F131" s="840"/>
      <c r="G131" s="841"/>
    </row>
    <row r="132" spans="1:17" ht="28.5" customHeight="1" thickBot="1">
      <c r="A132" s="186" t="s">
        <v>21</v>
      </c>
      <c r="B132" s="426"/>
      <c r="C132" s="427">
        <v>23200</v>
      </c>
      <c r="D132" s="517">
        <v>23200</v>
      </c>
      <c r="E132" s="550">
        <f aca="true" t="shared" si="7" ref="E132:E158">SUM(F132:G132)</f>
        <v>102500</v>
      </c>
      <c r="F132" s="551">
        <f>SUM(F133:F142)</f>
        <v>102500</v>
      </c>
      <c r="G132" s="552">
        <f>SUM(G133:G141)</f>
        <v>0</v>
      </c>
      <c r="K132" s="307"/>
      <c r="L132" s="307"/>
      <c r="M132" s="308"/>
      <c r="N132" s="308"/>
      <c r="O132" s="309"/>
      <c r="P132" s="310"/>
      <c r="Q132" s="310"/>
    </row>
    <row r="133" spans="1:7" ht="25.5">
      <c r="A133" s="188" t="s">
        <v>22</v>
      </c>
      <c r="B133" s="553" t="s">
        <v>142</v>
      </c>
      <c r="C133" s="554">
        <v>1500</v>
      </c>
      <c r="D133" s="555">
        <v>1500</v>
      </c>
      <c r="E133" s="556">
        <f t="shared" si="7"/>
        <v>55000</v>
      </c>
      <c r="F133" s="488">
        <f>75000-20000</f>
        <v>55000</v>
      </c>
      <c r="G133" s="393">
        <v>0</v>
      </c>
    </row>
    <row r="134" spans="1:8" ht="17.25" customHeight="1" thickBot="1">
      <c r="A134" s="236"/>
      <c r="B134" s="557" t="s">
        <v>155</v>
      </c>
      <c r="C134" s="558"/>
      <c r="D134" s="559"/>
      <c r="E134" s="556">
        <f t="shared" si="7"/>
        <v>35000</v>
      </c>
      <c r="F134" s="488">
        <v>35000</v>
      </c>
      <c r="G134" s="393">
        <v>0</v>
      </c>
      <c r="H134" s="313" t="s">
        <v>133</v>
      </c>
    </row>
    <row r="135" spans="1:7" ht="15.75" hidden="1" thickBot="1">
      <c r="A135" s="320"/>
      <c r="B135" s="416" t="s">
        <v>88</v>
      </c>
      <c r="C135" s="560"/>
      <c r="D135" s="561"/>
      <c r="E135" s="562">
        <f t="shared" si="7"/>
        <v>0</v>
      </c>
      <c r="F135" s="435">
        <v>0</v>
      </c>
      <c r="G135" s="382">
        <v>0</v>
      </c>
    </row>
    <row r="136" spans="1:8" ht="17.25" customHeight="1" thickBot="1">
      <c r="A136" s="320"/>
      <c r="B136" s="563" t="s">
        <v>158</v>
      </c>
      <c r="C136" s="560">
        <v>1500</v>
      </c>
      <c r="D136" s="561">
        <v>1500</v>
      </c>
      <c r="E136" s="556">
        <f t="shared" si="7"/>
        <v>7500</v>
      </c>
      <c r="F136" s="540">
        <v>7500</v>
      </c>
      <c r="G136" s="382">
        <v>0</v>
      </c>
      <c r="H136" s="313" t="s">
        <v>159</v>
      </c>
    </row>
    <row r="137" spans="1:7" ht="22.5" customHeight="1" hidden="1">
      <c r="A137" s="320"/>
      <c r="B137" s="564" t="s">
        <v>97</v>
      </c>
      <c r="C137" s="560"/>
      <c r="D137" s="561"/>
      <c r="E137" s="556">
        <f t="shared" si="7"/>
        <v>0</v>
      </c>
      <c r="F137" s="540">
        <v>0</v>
      </c>
      <c r="G137" s="382">
        <v>0</v>
      </c>
    </row>
    <row r="138" spans="1:7" ht="17.25" customHeight="1" hidden="1">
      <c r="A138" s="320"/>
      <c r="B138" s="564" t="s">
        <v>93</v>
      </c>
      <c r="C138" s="560"/>
      <c r="D138" s="561"/>
      <c r="E138" s="556">
        <f t="shared" si="7"/>
        <v>0</v>
      </c>
      <c r="F138" s="540">
        <v>0</v>
      </c>
      <c r="G138" s="382">
        <v>0</v>
      </c>
    </row>
    <row r="139" spans="1:7" ht="17.25" customHeight="1" hidden="1">
      <c r="A139" s="320"/>
      <c r="B139" s="565" t="s">
        <v>86</v>
      </c>
      <c r="C139" s="560"/>
      <c r="D139" s="561"/>
      <c r="E139" s="562">
        <f t="shared" si="7"/>
        <v>0</v>
      </c>
      <c r="F139" s="435">
        <v>0</v>
      </c>
      <c r="G139" s="382">
        <v>0</v>
      </c>
    </row>
    <row r="140" spans="1:7" ht="18.75" customHeight="1" hidden="1">
      <c r="A140" s="320"/>
      <c r="B140" s="416" t="s">
        <v>113</v>
      </c>
      <c r="C140" s="560"/>
      <c r="D140" s="561"/>
      <c r="E140" s="562">
        <f t="shared" si="7"/>
        <v>0</v>
      </c>
      <c r="F140" s="435">
        <v>0</v>
      </c>
      <c r="G140" s="382">
        <v>0</v>
      </c>
    </row>
    <row r="141" spans="1:10" ht="15" customHeight="1" hidden="1">
      <c r="A141" s="328"/>
      <c r="B141" s="528" t="s">
        <v>85</v>
      </c>
      <c r="C141" s="566"/>
      <c r="D141" s="567"/>
      <c r="E141" s="568">
        <f t="shared" si="7"/>
        <v>0</v>
      </c>
      <c r="F141" s="569">
        <v>0</v>
      </c>
      <c r="G141" s="387">
        <v>0</v>
      </c>
      <c r="H141" s="335"/>
      <c r="J141" s="306"/>
    </row>
    <row r="142" spans="1:10" ht="30" customHeight="1" thickBot="1">
      <c r="A142" s="240" t="s">
        <v>59</v>
      </c>
      <c r="B142" s="570" t="s">
        <v>156</v>
      </c>
      <c r="C142" s="571">
        <v>1500</v>
      </c>
      <c r="D142" s="572">
        <v>1500</v>
      </c>
      <c r="E142" s="573">
        <f t="shared" si="7"/>
        <v>5000</v>
      </c>
      <c r="F142" s="448">
        <v>5000</v>
      </c>
      <c r="G142" s="495">
        <v>0</v>
      </c>
      <c r="H142" s="335" t="s">
        <v>157</v>
      </c>
      <c r="J142" s="306"/>
    </row>
    <row r="143" spans="1:7" ht="18" customHeight="1" thickBot="1">
      <c r="A143" s="241" t="s">
        <v>23</v>
      </c>
      <c r="B143" s="426"/>
      <c r="C143" s="427">
        <v>23200</v>
      </c>
      <c r="D143" s="517">
        <v>23200</v>
      </c>
      <c r="E143" s="472">
        <f t="shared" si="7"/>
        <v>181000</v>
      </c>
      <c r="F143" s="427">
        <f>SUM(F144:F158)</f>
        <v>151000</v>
      </c>
      <c r="G143" s="552">
        <f>SUM(G144:G158)</f>
        <v>30000</v>
      </c>
    </row>
    <row r="144" spans="1:10" ht="15.75" thickBot="1">
      <c r="A144" s="208" t="s">
        <v>24</v>
      </c>
      <c r="B144" s="574" t="s">
        <v>147</v>
      </c>
      <c r="C144" s="558">
        <v>1500</v>
      </c>
      <c r="D144" s="559">
        <v>1500</v>
      </c>
      <c r="E144" s="540">
        <f t="shared" si="7"/>
        <v>33500</v>
      </c>
      <c r="F144" s="488">
        <v>33500</v>
      </c>
      <c r="G144" s="393">
        <v>0</v>
      </c>
      <c r="H144" s="313" t="s">
        <v>148</v>
      </c>
      <c r="J144" s="302"/>
    </row>
    <row r="145" spans="1:10" ht="15.75" thickBot="1">
      <c r="A145" s="236"/>
      <c r="B145" s="575" t="s">
        <v>103</v>
      </c>
      <c r="C145" s="560"/>
      <c r="D145" s="561"/>
      <c r="E145" s="540">
        <f t="shared" si="7"/>
        <v>14000</v>
      </c>
      <c r="F145" s="435">
        <v>14000</v>
      </c>
      <c r="G145" s="382">
        <v>0</v>
      </c>
      <c r="H145" s="313" t="s">
        <v>151</v>
      </c>
      <c r="J145" s="302"/>
    </row>
    <row r="146" spans="1:10" ht="15.75" thickBot="1">
      <c r="A146" s="320"/>
      <c r="B146" s="395" t="s">
        <v>67</v>
      </c>
      <c r="C146" s="560"/>
      <c r="D146" s="561"/>
      <c r="E146" s="540">
        <f t="shared" si="7"/>
        <v>15000</v>
      </c>
      <c r="F146" s="435">
        <v>15000</v>
      </c>
      <c r="G146" s="382">
        <v>0</v>
      </c>
      <c r="H146" s="356" t="s">
        <v>143</v>
      </c>
      <c r="J146" s="302"/>
    </row>
    <row r="147" spans="1:10" ht="15.75" thickBot="1">
      <c r="A147" s="320"/>
      <c r="B147" s="413" t="s">
        <v>146</v>
      </c>
      <c r="C147" s="560"/>
      <c r="D147" s="561"/>
      <c r="E147" s="540">
        <f t="shared" si="7"/>
        <v>5000</v>
      </c>
      <c r="F147" s="435">
        <v>5000</v>
      </c>
      <c r="G147" s="382">
        <v>0</v>
      </c>
      <c r="H147" s="356" t="s">
        <v>157</v>
      </c>
      <c r="J147" s="302"/>
    </row>
    <row r="148" spans="1:10" ht="30.75" thickBot="1">
      <c r="A148" s="320"/>
      <c r="B148" s="413" t="s">
        <v>95</v>
      </c>
      <c r="C148" s="560"/>
      <c r="D148" s="561"/>
      <c r="E148" s="401">
        <f t="shared" si="7"/>
        <v>90000</v>
      </c>
      <c r="F148" s="435">
        <v>60000</v>
      </c>
      <c r="G148" s="382">
        <f>0+30000</f>
        <v>30000</v>
      </c>
      <c r="H148" s="356" t="s">
        <v>150</v>
      </c>
      <c r="J148" s="302"/>
    </row>
    <row r="149" spans="1:10" ht="12.75" hidden="1">
      <c r="A149" s="707" t="s">
        <v>6</v>
      </c>
      <c r="B149" s="785" t="s">
        <v>7</v>
      </c>
      <c r="C149" s="370" t="s">
        <v>18</v>
      </c>
      <c r="D149" s="371" t="s">
        <v>8</v>
      </c>
      <c r="E149" s="842" t="s">
        <v>96</v>
      </c>
      <c r="F149" s="789" t="s">
        <v>19</v>
      </c>
      <c r="G149" s="790"/>
      <c r="H149" s="356"/>
      <c r="J149" s="302"/>
    </row>
    <row r="150" spans="1:10" ht="12.75" hidden="1">
      <c r="A150" s="708"/>
      <c r="B150" s="786"/>
      <c r="C150" s="372" t="s">
        <v>0</v>
      </c>
      <c r="D150" s="373" t="s">
        <v>14</v>
      </c>
      <c r="E150" s="843"/>
      <c r="F150" s="791" t="s">
        <v>54</v>
      </c>
      <c r="G150" s="793" t="s">
        <v>55</v>
      </c>
      <c r="H150" s="356"/>
      <c r="J150" s="302"/>
    </row>
    <row r="151" spans="1:10" ht="12.75" hidden="1">
      <c r="A151" s="708"/>
      <c r="B151" s="786"/>
      <c r="C151" s="372"/>
      <c r="D151" s="373" t="s">
        <v>15</v>
      </c>
      <c r="E151" s="844"/>
      <c r="F151" s="845"/>
      <c r="G151" s="846"/>
      <c r="H151" s="356"/>
      <c r="J151" s="302"/>
    </row>
    <row r="152" spans="1:10" ht="15.75">
      <c r="A152" s="280"/>
      <c r="B152" s="576" t="s">
        <v>58</v>
      </c>
      <c r="C152" s="538"/>
      <c r="D152" s="539"/>
      <c r="E152" s="540">
        <f>SUM(F152:G152)</f>
        <v>12000</v>
      </c>
      <c r="F152" s="546">
        <v>12000</v>
      </c>
      <c r="G152" s="393">
        <v>0</v>
      </c>
      <c r="H152" s="356" t="s">
        <v>152</v>
      </c>
      <c r="J152" s="302"/>
    </row>
    <row r="153" spans="1:10" ht="15.75" hidden="1" thickBot="1">
      <c r="A153" s="320"/>
      <c r="B153" s="577" t="s">
        <v>58</v>
      </c>
      <c r="C153" s="560"/>
      <c r="D153" s="561"/>
      <c r="E153" s="401">
        <f t="shared" si="7"/>
        <v>0</v>
      </c>
      <c r="F153" s="435">
        <v>0</v>
      </c>
      <c r="G153" s="382">
        <v>0</v>
      </c>
      <c r="H153" s="356" t="s">
        <v>69</v>
      </c>
      <c r="J153" s="302"/>
    </row>
    <row r="154" spans="1:10" ht="18.75" customHeight="1" thickBot="1">
      <c r="A154" s="320"/>
      <c r="B154" s="575" t="s">
        <v>153</v>
      </c>
      <c r="C154" s="560"/>
      <c r="D154" s="561"/>
      <c r="E154" s="401">
        <f t="shared" si="7"/>
        <v>5500</v>
      </c>
      <c r="F154" s="435">
        <f>5000+500</f>
        <v>5500</v>
      </c>
      <c r="G154" s="382">
        <v>0</v>
      </c>
      <c r="H154" s="356" t="s">
        <v>154</v>
      </c>
      <c r="J154" s="302"/>
    </row>
    <row r="155" spans="1:10" ht="15.75" hidden="1" thickBot="1">
      <c r="A155" s="320"/>
      <c r="B155" s="577" t="s">
        <v>94</v>
      </c>
      <c r="C155" s="560"/>
      <c r="D155" s="561"/>
      <c r="E155" s="401">
        <f t="shared" si="7"/>
        <v>0</v>
      </c>
      <c r="F155" s="435">
        <v>0</v>
      </c>
      <c r="G155" s="382">
        <v>0</v>
      </c>
      <c r="J155" s="302"/>
    </row>
    <row r="156" spans="1:10" ht="31.5" customHeight="1" hidden="1">
      <c r="A156" s="320"/>
      <c r="B156" s="577" t="s">
        <v>102</v>
      </c>
      <c r="C156" s="560"/>
      <c r="D156" s="561"/>
      <c r="E156" s="401">
        <f t="shared" si="7"/>
        <v>0</v>
      </c>
      <c r="F156" s="435">
        <v>0</v>
      </c>
      <c r="G156" s="382">
        <v>0</v>
      </c>
      <c r="J156" s="302"/>
    </row>
    <row r="157" spans="1:10" ht="18" customHeight="1" thickBot="1">
      <c r="A157" s="328"/>
      <c r="B157" s="578" t="s">
        <v>73</v>
      </c>
      <c r="C157" s="560"/>
      <c r="D157" s="561"/>
      <c r="E157" s="449">
        <f t="shared" si="7"/>
        <v>6000</v>
      </c>
      <c r="F157" s="448">
        <v>6000</v>
      </c>
      <c r="G157" s="495">
        <v>0</v>
      </c>
      <c r="H157" s="313" t="s">
        <v>161</v>
      </c>
      <c r="J157" s="302"/>
    </row>
    <row r="158" spans="1:9" s="302" customFormat="1" ht="13.5" hidden="1" thickBot="1">
      <c r="A158" s="328"/>
      <c r="B158" s="579" t="s">
        <v>28</v>
      </c>
      <c r="C158" s="580">
        <v>1500</v>
      </c>
      <c r="D158" s="581">
        <v>1500</v>
      </c>
      <c r="E158" s="582">
        <f t="shared" si="7"/>
        <v>0</v>
      </c>
      <c r="F158" s="583">
        <v>0</v>
      </c>
      <c r="G158" s="584">
        <v>0</v>
      </c>
      <c r="H158" s="312"/>
      <c r="I158" s="312"/>
    </row>
    <row r="159" spans="1:9" s="302" customFormat="1" ht="5.25" customHeight="1">
      <c r="A159" s="311"/>
      <c r="B159" s="451"/>
      <c r="C159" s="365"/>
      <c r="D159" s="366"/>
      <c r="E159" s="366"/>
      <c r="F159" s="365"/>
      <c r="G159" s="365"/>
      <c r="H159" s="312"/>
      <c r="I159" s="312"/>
    </row>
    <row r="160" spans="1:9" s="302" customFormat="1" ht="16.5" thickBot="1">
      <c r="A160" s="746" t="s">
        <v>17</v>
      </c>
      <c r="B160" s="746"/>
      <c r="C160" s="585"/>
      <c r="D160" s="508"/>
      <c r="E160" s="363">
        <f>SUM(E112+E97+E90+E81+E49+E7+E132+E143+E87+E103+E110+E78)</f>
        <v>5648877</v>
      </c>
      <c r="F160" s="363">
        <f>SUM(F112+F97+F90+F81+F49+F7+F132+F143+F87+F103+F110+F78)</f>
        <v>4818877</v>
      </c>
      <c r="G160" s="363">
        <f>SUM(G112+G97+G90+G81+G49+G7+G132+G143+G87+G103)</f>
        <v>830000</v>
      </c>
      <c r="H160" s="312"/>
      <c r="I160" s="312"/>
    </row>
    <row r="161" ht="13.5" thickTop="1">
      <c r="D161" s="366" t="s">
        <v>16</v>
      </c>
    </row>
    <row r="162" spans="3:6" ht="15">
      <c r="C162" s="586"/>
      <c r="F162" s="365" t="s">
        <v>188</v>
      </c>
    </row>
    <row r="163" spans="5:7" ht="12.75">
      <c r="E163" s="365"/>
      <c r="F163" s="365" t="s">
        <v>189</v>
      </c>
      <c r="G163" s="365">
        <f>G77</f>
        <v>800000</v>
      </c>
    </row>
    <row r="164" spans="5:7" ht="12.75">
      <c r="E164" s="365"/>
      <c r="F164" s="365" t="s">
        <v>187</v>
      </c>
      <c r="G164" s="365">
        <f>G148</f>
        <v>30000</v>
      </c>
    </row>
    <row r="166" ht="12.75">
      <c r="J166" s="303" t="s">
        <v>39</v>
      </c>
    </row>
    <row r="167" spans="7:10" ht="12.75">
      <c r="G167" s="587">
        <f>SUM(F160:G160)</f>
        <v>5648877</v>
      </c>
      <c r="J167" s="302">
        <f>SUM(G167)-E160</f>
        <v>0</v>
      </c>
    </row>
  </sheetData>
  <sheetProtection/>
  <mergeCells count="50">
    <mergeCell ref="E2:G2"/>
    <mergeCell ref="A4:A6"/>
    <mergeCell ref="B4:B6"/>
    <mergeCell ref="E4:E6"/>
    <mergeCell ref="F4:G4"/>
    <mergeCell ref="F5:F6"/>
    <mergeCell ref="G5:G6"/>
    <mergeCell ref="B10:B13"/>
    <mergeCell ref="E10:E13"/>
    <mergeCell ref="F10:F13"/>
    <mergeCell ref="B18:B19"/>
    <mergeCell ref="E18:E19"/>
    <mergeCell ref="F18:F19"/>
    <mergeCell ref="A34:A36"/>
    <mergeCell ref="B34:B36"/>
    <mergeCell ref="E34:E36"/>
    <mergeCell ref="F34:G34"/>
    <mergeCell ref="F35:F36"/>
    <mergeCell ref="G35:G36"/>
    <mergeCell ref="A67:A69"/>
    <mergeCell ref="B67:B69"/>
    <mergeCell ref="E67:E69"/>
    <mergeCell ref="F67:G67"/>
    <mergeCell ref="F68:F69"/>
    <mergeCell ref="G68:G69"/>
    <mergeCell ref="A93:A95"/>
    <mergeCell ref="B93:B95"/>
    <mergeCell ref="E93:E95"/>
    <mergeCell ref="F93:G93"/>
    <mergeCell ref="F94:F95"/>
    <mergeCell ref="G94:G95"/>
    <mergeCell ref="A115:A117"/>
    <mergeCell ref="B115:B117"/>
    <mergeCell ref="E115:E117"/>
    <mergeCell ref="F115:G115"/>
    <mergeCell ref="F116:F117"/>
    <mergeCell ref="G116:G117"/>
    <mergeCell ref="A129:A131"/>
    <mergeCell ref="B129:B131"/>
    <mergeCell ref="E129:E131"/>
    <mergeCell ref="F129:G129"/>
    <mergeCell ref="F130:F131"/>
    <mergeCell ref="G130:G131"/>
    <mergeCell ref="A160:B160"/>
    <mergeCell ref="A149:A151"/>
    <mergeCell ref="B149:B151"/>
    <mergeCell ref="E149:E151"/>
    <mergeCell ref="F149:G149"/>
    <mergeCell ref="F150:F151"/>
    <mergeCell ref="G150:G151"/>
  </mergeCells>
  <conditionalFormatting sqref="I1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{c58a05f1-6252-47b2-89c0-e8b80000a1c0}</x14:id>
        </ext>
      </extLst>
    </cfRule>
  </conditionalFormatting>
  <conditionalFormatting sqref="A7:A4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{aaa2e6af-7d10-4b50-8930-958be2d9392c}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71" r:id="rId1"/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8a05f1-6252-47b2-89c0-e8b80000a1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</xm:sqref>
        </x14:conditionalFormatting>
        <x14:conditionalFormatting xmlns:xm="http://schemas.microsoft.com/office/excel/2006/main">
          <x14:cfRule type="dataBar" id="{aaa2e6af-7d10-4b50-8930-958be2d939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128">
      <selection activeCell="F129" sqref="F129:G129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G1" s="367" t="s">
        <v>198</v>
      </c>
    </row>
    <row r="2" spans="1:7" ht="18">
      <c r="A2" s="284"/>
      <c r="B2" s="364" t="s">
        <v>167</v>
      </c>
      <c r="E2" s="783" t="s">
        <v>199</v>
      </c>
      <c r="F2" s="784"/>
      <c r="G2" s="784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SUM(E8:E48)</f>
        <v>602610</v>
      </c>
      <c r="F7" s="377">
        <f>SUM(F8:F48)</f>
        <v>602610</v>
      </c>
      <c r="G7" s="377">
        <f>SUM(G8:G47)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305" customFormat="1" ht="20.25" customHeight="1">
      <c r="A15" s="320"/>
      <c r="B15" s="383" t="s">
        <v>126</v>
      </c>
      <c r="C15" s="379"/>
      <c r="D15" s="384"/>
      <c r="E15" s="381">
        <f>SUM(F15:G15)</f>
        <v>65000</v>
      </c>
      <c r="F15" s="382">
        <v>65000</v>
      </c>
      <c r="G15" s="393">
        <v>0</v>
      </c>
      <c r="H15" s="207"/>
      <c r="I15" s="200"/>
    </row>
    <row r="16" spans="1:9" s="305" customFormat="1" ht="20.25" customHeight="1">
      <c r="A16" s="320"/>
      <c r="B16" s="383" t="s">
        <v>127</v>
      </c>
      <c r="C16" s="379"/>
      <c r="D16" s="380"/>
      <c r="E16" s="381">
        <f>SUM(F16:G16)</f>
        <v>334000</v>
      </c>
      <c r="F16" s="382">
        <f>100000-1700-1700+300000-20000-40000-10000+7400</f>
        <v>334000</v>
      </c>
      <c r="G16" s="382">
        <f>300000-300000</f>
        <v>0</v>
      </c>
      <c r="H16" s="207"/>
      <c r="I16" s="200"/>
    </row>
    <row r="17" spans="1:9" s="305" customFormat="1" ht="16.5" customHeight="1" hidden="1">
      <c r="A17" s="320"/>
      <c r="B17" s="378" t="s">
        <v>79</v>
      </c>
      <c r="C17" s="379"/>
      <c r="D17" s="384"/>
      <c r="E17" s="381">
        <f>SUM(F17:G17)</f>
        <v>0</v>
      </c>
      <c r="F17" s="382">
        <v>0</v>
      </c>
      <c r="G17" s="382">
        <v>0</v>
      </c>
      <c r="H17" s="207"/>
      <c r="I17" s="200"/>
    </row>
    <row r="18" spans="1:9" s="305" customFormat="1" ht="11.25" customHeight="1" hidden="1">
      <c r="A18" s="320"/>
      <c r="B18" s="847" t="s">
        <v>80</v>
      </c>
      <c r="C18" s="379"/>
      <c r="D18" s="384"/>
      <c r="E18" s="849">
        <f>SUM(F18:G18)</f>
        <v>0</v>
      </c>
      <c r="F18" s="851">
        <v>0</v>
      </c>
      <c r="G18" s="387">
        <v>0</v>
      </c>
      <c r="H18" s="207"/>
      <c r="I18" s="200"/>
    </row>
    <row r="19" spans="1:9" s="305" customFormat="1" ht="10.5" customHeight="1" hidden="1">
      <c r="A19" s="320"/>
      <c r="B19" s="848"/>
      <c r="C19" s="379"/>
      <c r="D19" s="384"/>
      <c r="E19" s="850"/>
      <c r="F19" s="852"/>
      <c r="G19" s="392"/>
      <c r="H19" s="207"/>
      <c r="I19" s="200"/>
    </row>
    <row r="20" spans="1:9" s="305" customFormat="1" ht="16.5" customHeight="1" hidden="1">
      <c r="A20" s="320"/>
      <c r="B20" s="394" t="s">
        <v>74</v>
      </c>
      <c r="C20" s="379"/>
      <c r="D20" s="384"/>
      <c r="E20" s="381">
        <f aca="true" t="shared" si="0" ref="E20:E30">SUM(F20:G20)</f>
        <v>0</v>
      </c>
      <c r="F20" s="382">
        <v>0</v>
      </c>
      <c r="G20" s="393">
        <v>0</v>
      </c>
      <c r="H20" s="207"/>
      <c r="I20" s="200"/>
    </row>
    <row r="21" spans="1:9" s="305" customFormat="1" ht="14.25" customHeight="1" hidden="1">
      <c r="A21" s="323"/>
      <c r="B21" s="604" t="s">
        <v>75</v>
      </c>
      <c r="C21" s="379"/>
      <c r="D21" s="384"/>
      <c r="E21" s="381">
        <f t="shared" si="0"/>
        <v>0</v>
      </c>
      <c r="F21" s="382">
        <v>0</v>
      </c>
      <c r="G21" s="382">
        <v>0</v>
      </c>
      <c r="H21" s="207"/>
      <c r="I21" s="200"/>
    </row>
    <row r="22" spans="1:9" s="305" customFormat="1" ht="16.5" customHeight="1" hidden="1">
      <c r="A22" s="323"/>
      <c r="B22" s="605" t="s">
        <v>81</v>
      </c>
      <c r="C22" s="379">
        <v>30000</v>
      </c>
      <c r="D22" s="380">
        <v>30000</v>
      </c>
      <c r="E22" s="381">
        <f t="shared" si="0"/>
        <v>0</v>
      </c>
      <c r="F22" s="382">
        <v>0</v>
      </c>
      <c r="G22" s="382">
        <v>0</v>
      </c>
      <c r="H22" s="207"/>
      <c r="I22" s="200"/>
    </row>
    <row r="23" spans="1:9" s="305" customFormat="1" ht="19.5" customHeight="1" hidden="1">
      <c r="A23" s="323"/>
      <c r="B23" s="395" t="s">
        <v>104</v>
      </c>
      <c r="C23" s="379">
        <v>83000</v>
      </c>
      <c r="D23" s="380">
        <v>83000</v>
      </c>
      <c r="E23" s="381">
        <f t="shared" si="0"/>
        <v>0</v>
      </c>
      <c r="F23" s="382">
        <v>0</v>
      </c>
      <c r="G23" s="382">
        <v>0</v>
      </c>
      <c r="H23" s="207"/>
      <c r="I23" s="200"/>
    </row>
    <row r="24" spans="1:9" s="305" customFormat="1" ht="16.5" customHeight="1" hidden="1">
      <c r="A24" s="323"/>
      <c r="B24" s="395" t="s">
        <v>76</v>
      </c>
      <c r="C24" s="379"/>
      <c r="D24" s="380"/>
      <c r="E24" s="381">
        <f t="shared" si="0"/>
        <v>0</v>
      </c>
      <c r="F24" s="379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606" t="s">
        <v>77</v>
      </c>
      <c r="C25" s="396"/>
      <c r="D25" s="607"/>
      <c r="E25" s="381">
        <f t="shared" si="0"/>
        <v>0</v>
      </c>
      <c r="F25" s="396">
        <v>0</v>
      </c>
      <c r="G25" s="387">
        <v>0</v>
      </c>
      <c r="H25" s="207"/>
      <c r="I25" s="200"/>
    </row>
    <row r="26" spans="1:9" s="305" customFormat="1" ht="15" hidden="1">
      <c r="A26" s="323"/>
      <c r="B26" s="395" t="s">
        <v>82</v>
      </c>
      <c r="C26" s="379"/>
      <c r="D26" s="380"/>
      <c r="E26" s="381">
        <f t="shared" si="0"/>
        <v>0</v>
      </c>
      <c r="F26" s="379">
        <v>0</v>
      </c>
      <c r="G26" s="382">
        <v>0</v>
      </c>
      <c r="H26" s="207"/>
      <c r="I26" s="200"/>
    </row>
    <row r="27" spans="1:9" s="305" customFormat="1" ht="27.75" customHeight="1" hidden="1">
      <c r="A27" s="323"/>
      <c r="B27" s="395" t="s">
        <v>50</v>
      </c>
      <c r="C27" s="397">
        <v>1000</v>
      </c>
      <c r="D27" s="398">
        <v>1000</v>
      </c>
      <c r="E27" s="399">
        <f t="shared" si="0"/>
        <v>0</v>
      </c>
      <c r="F27" s="397">
        <v>0</v>
      </c>
      <c r="G27" s="393"/>
      <c r="H27" s="207"/>
      <c r="I27" s="200"/>
    </row>
    <row r="28" spans="1:9" s="305" customFormat="1" ht="16.5" customHeight="1" hidden="1">
      <c r="A28" s="323"/>
      <c r="B28" s="395" t="s">
        <v>78</v>
      </c>
      <c r="C28" s="379"/>
      <c r="D28" s="380"/>
      <c r="E28" s="381">
        <f t="shared" si="0"/>
        <v>0</v>
      </c>
      <c r="F28" s="379">
        <v>0</v>
      </c>
      <c r="G28" s="382">
        <v>0</v>
      </c>
      <c r="H28" s="207"/>
      <c r="I28" s="200"/>
    </row>
    <row r="29" spans="1:7" ht="15.75" customHeight="1" hidden="1">
      <c r="A29" s="323"/>
      <c r="B29" s="608" t="s">
        <v>45</v>
      </c>
      <c r="C29" s="396"/>
      <c r="D29" s="607"/>
      <c r="E29" s="400">
        <f t="shared" si="0"/>
        <v>0</v>
      </c>
      <c r="F29" s="396">
        <v>0</v>
      </c>
      <c r="G29" s="387">
        <v>0</v>
      </c>
    </row>
    <row r="30" spans="1:7" ht="20.25" customHeight="1">
      <c r="A30" s="323"/>
      <c r="B30" s="609" t="s">
        <v>57</v>
      </c>
      <c r="C30" s="610"/>
      <c r="D30" s="610"/>
      <c r="E30" s="401">
        <f t="shared" si="0"/>
        <v>41054</v>
      </c>
      <c r="F30" s="610">
        <f>50000-1546-7400</f>
        <v>41054</v>
      </c>
      <c r="G30" s="382">
        <v>0</v>
      </c>
    </row>
    <row r="31" spans="1:7" ht="15" hidden="1">
      <c r="A31" s="323"/>
      <c r="B31" s="402"/>
      <c r="C31" s="403"/>
      <c r="D31" s="403"/>
      <c r="E31" s="404"/>
      <c r="F31" s="403"/>
      <c r="G31" s="405"/>
    </row>
    <row r="32" spans="1:7" ht="18" customHeight="1" hidden="1">
      <c r="A32" s="323"/>
      <c r="B32" s="402"/>
      <c r="C32" s="403"/>
      <c r="D32" s="403"/>
      <c r="E32" s="404"/>
      <c r="F32" s="403"/>
      <c r="G32" s="405"/>
    </row>
    <row r="33" spans="1:7" s="313" customFormat="1" ht="15" hidden="1">
      <c r="A33" s="323"/>
      <c r="B33" s="402"/>
      <c r="C33" s="403"/>
      <c r="D33" s="403"/>
      <c r="E33" s="404"/>
      <c r="F33" s="403"/>
      <c r="G33" s="405"/>
    </row>
    <row r="34" spans="1:7" s="313" customFormat="1" ht="12.75" customHeight="1" hidden="1">
      <c r="A34" s="747" t="s">
        <v>6</v>
      </c>
      <c r="B34" s="810" t="s">
        <v>7</v>
      </c>
      <c r="C34" s="406" t="s">
        <v>18</v>
      </c>
      <c r="D34" s="407" t="s">
        <v>8</v>
      </c>
      <c r="E34" s="813" t="s">
        <v>5</v>
      </c>
      <c r="F34" s="816" t="s">
        <v>19</v>
      </c>
      <c r="G34" s="817"/>
    </row>
    <row r="35" spans="1:7" s="313" customFormat="1" ht="15.75" hidden="1">
      <c r="A35" s="777"/>
      <c r="B35" s="811"/>
      <c r="C35" s="408" t="s">
        <v>0</v>
      </c>
      <c r="D35" s="409" t="s">
        <v>14</v>
      </c>
      <c r="E35" s="814"/>
      <c r="F35" s="818" t="s">
        <v>13</v>
      </c>
      <c r="G35" s="820" t="s">
        <v>20</v>
      </c>
    </row>
    <row r="36" spans="1:7" s="313" customFormat="1" ht="16.5" hidden="1" thickBot="1">
      <c r="A36" s="777"/>
      <c r="B36" s="812"/>
      <c r="C36" s="410"/>
      <c r="D36" s="411" t="s">
        <v>15</v>
      </c>
      <c r="E36" s="815"/>
      <c r="F36" s="819"/>
      <c r="G36" s="821"/>
    </row>
    <row r="37" spans="1:7" s="313" customFormat="1" ht="15">
      <c r="A37" s="325"/>
      <c r="B37" s="412" t="s">
        <v>128</v>
      </c>
      <c r="C37" s="379"/>
      <c r="D37" s="380"/>
      <c r="E37" s="381">
        <f aca="true" t="shared" si="1" ref="E37:E44">SUM(F37:G37)</f>
        <v>66900</v>
      </c>
      <c r="F37" s="379">
        <v>66900</v>
      </c>
      <c r="G37" s="382">
        <v>0</v>
      </c>
    </row>
    <row r="38" spans="1:7" s="313" customFormat="1" ht="19.5" customHeight="1">
      <c r="A38" s="323"/>
      <c r="B38" s="412" t="s">
        <v>175</v>
      </c>
      <c r="C38" s="379"/>
      <c r="D38" s="380"/>
      <c r="E38" s="381">
        <f t="shared" si="1"/>
        <v>14056</v>
      </c>
      <c r="F38" s="379">
        <f>12510+1546</f>
        <v>14056</v>
      </c>
      <c r="G38" s="382">
        <v>0</v>
      </c>
    </row>
    <row r="39" spans="1:7" s="313" customFormat="1" ht="15" customHeight="1" hidden="1">
      <c r="A39" s="323"/>
      <c r="B39" s="412" t="s">
        <v>83</v>
      </c>
      <c r="C39" s="379"/>
      <c r="D39" s="380"/>
      <c r="E39" s="381">
        <f t="shared" si="1"/>
        <v>0</v>
      </c>
      <c r="F39" s="379">
        <v>0</v>
      </c>
      <c r="G39" s="382">
        <v>0</v>
      </c>
    </row>
    <row r="40" spans="1:7" s="313" customFormat="1" ht="15" customHeight="1" hidden="1">
      <c r="A40" s="323"/>
      <c r="B40" s="413" t="s">
        <v>84</v>
      </c>
      <c r="C40" s="379"/>
      <c r="D40" s="380"/>
      <c r="E40" s="381">
        <f t="shared" si="1"/>
        <v>0</v>
      </c>
      <c r="F40" s="379">
        <v>0</v>
      </c>
      <c r="G40" s="382"/>
    </row>
    <row r="41" spans="1:7" s="313" customFormat="1" ht="15.75" customHeight="1" hidden="1">
      <c r="A41" s="326"/>
      <c r="B41" s="414" t="s">
        <v>98</v>
      </c>
      <c r="C41" s="379">
        <v>44900</v>
      </c>
      <c r="D41" s="380">
        <v>44900</v>
      </c>
      <c r="E41" s="381">
        <f t="shared" si="1"/>
        <v>0</v>
      </c>
      <c r="F41" s="379">
        <v>0</v>
      </c>
      <c r="G41" s="382">
        <v>0</v>
      </c>
    </row>
    <row r="42" spans="1:7" s="313" customFormat="1" ht="13.5" customHeight="1" hidden="1">
      <c r="A42" s="320"/>
      <c r="B42" s="415" t="s">
        <v>1</v>
      </c>
      <c r="C42" s="379"/>
      <c r="D42" s="380"/>
      <c r="E42" s="381">
        <f t="shared" si="1"/>
        <v>0</v>
      </c>
      <c r="F42" s="379">
        <v>0</v>
      </c>
      <c r="G42" s="382">
        <v>0</v>
      </c>
    </row>
    <row r="43" spans="1:7" s="313" customFormat="1" ht="13.5" customHeight="1" hidden="1">
      <c r="A43" s="327"/>
      <c r="B43" s="416" t="s">
        <v>2</v>
      </c>
      <c r="C43" s="379"/>
      <c r="D43" s="380"/>
      <c r="E43" s="400">
        <f t="shared" si="1"/>
        <v>0</v>
      </c>
      <c r="F43" s="396">
        <v>0</v>
      </c>
      <c r="G43" s="387"/>
    </row>
    <row r="44" spans="1:8" s="313" customFormat="1" ht="15" customHeight="1" hidden="1">
      <c r="A44" s="215" t="s">
        <v>43</v>
      </c>
      <c r="B44" s="417" t="s">
        <v>71</v>
      </c>
      <c r="C44" s="403"/>
      <c r="D44" s="418"/>
      <c r="E44" s="381">
        <f t="shared" si="1"/>
        <v>0</v>
      </c>
      <c r="F44" s="379">
        <v>0</v>
      </c>
      <c r="G44" s="419">
        <v>0</v>
      </c>
      <c r="H44" s="313" t="s">
        <v>72</v>
      </c>
    </row>
    <row r="45" spans="1:7" s="313" customFormat="1" ht="16.5" customHeight="1" hidden="1">
      <c r="A45" s="320"/>
      <c r="B45" s="420"/>
      <c r="C45" s="403"/>
      <c r="D45" s="418"/>
      <c r="E45" s="418"/>
      <c r="F45" s="403"/>
      <c r="G45" s="405"/>
    </row>
    <row r="46" spans="1:7" s="313" customFormat="1" ht="15.75" customHeight="1" hidden="1">
      <c r="A46" s="328"/>
      <c r="B46" s="421" t="s">
        <v>51</v>
      </c>
      <c r="C46" s="403"/>
      <c r="D46" s="418"/>
      <c r="E46" s="422">
        <f>SUM(F46:G46)</f>
        <v>0</v>
      </c>
      <c r="F46" s="423">
        <v>0</v>
      </c>
      <c r="G46" s="424">
        <v>0</v>
      </c>
    </row>
    <row r="47" spans="1:7" s="313" customFormat="1" ht="15.75" customHeight="1" hidden="1">
      <c r="A47" s="328"/>
      <c r="B47" s="421" t="s">
        <v>52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s="313" customFormat="1" ht="15.75" thickBot="1">
      <c r="A48" s="328"/>
      <c r="B48" s="425" t="s">
        <v>176</v>
      </c>
      <c r="C48" s="403"/>
      <c r="D48" s="418"/>
      <c r="E48" s="381">
        <f>SUM(F48:G48)</f>
        <v>34000</v>
      </c>
      <c r="F48" s="379">
        <v>34000</v>
      </c>
      <c r="G48" s="382">
        <v>0</v>
      </c>
    </row>
    <row r="49" spans="1:7" s="313" customFormat="1" ht="18" customHeight="1" thickBot="1">
      <c r="A49" s="186" t="s">
        <v>11</v>
      </c>
      <c r="B49" s="426"/>
      <c r="C49" s="427"/>
      <c r="D49" s="428"/>
      <c r="E49" s="429">
        <f>SUM(E50:E70)+E72+E77</f>
        <v>2380438</v>
      </c>
      <c r="F49" s="429">
        <f>SUM(F50:F70)+F72+F77</f>
        <v>1580438</v>
      </c>
      <c r="G49" s="429">
        <f>SUM(G50:G70)+G72+G77</f>
        <v>800000</v>
      </c>
    </row>
    <row r="50" spans="1:7" s="313" customFormat="1" ht="32.25" customHeight="1">
      <c r="A50" s="181" t="s">
        <v>3</v>
      </c>
      <c r="B50" s="430" t="s">
        <v>114</v>
      </c>
      <c r="C50" s="397"/>
      <c r="D50" s="431"/>
      <c r="E50" s="432">
        <f aca="true" t="shared" si="2" ref="E50:E66">SUM(F50:G50)</f>
        <v>500000</v>
      </c>
      <c r="F50" s="432">
        <f>0+500000</f>
        <v>500000</v>
      </c>
      <c r="G50" s="433">
        <f>500000-500000</f>
        <v>0</v>
      </c>
    </row>
    <row r="51" spans="1:7" s="313" customFormat="1" ht="33.75" customHeight="1">
      <c r="A51" s="217"/>
      <c r="B51" s="434" t="s">
        <v>168</v>
      </c>
      <c r="C51" s="435"/>
      <c r="D51" s="435"/>
      <c r="E51" s="401">
        <f t="shared" si="2"/>
        <v>10488</v>
      </c>
      <c r="F51" s="435">
        <v>10488</v>
      </c>
      <c r="G51" s="382">
        <v>0</v>
      </c>
    </row>
    <row r="52" spans="1:7" s="313" customFormat="1" ht="32.25" customHeight="1" thickBot="1">
      <c r="A52" s="218"/>
      <c r="B52" s="436" t="s">
        <v>184</v>
      </c>
      <c r="C52" s="437">
        <v>15000</v>
      </c>
      <c r="D52" s="438">
        <v>15000</v>
      </c>
      <c r="E52" s="439">
        <f t="shared" si="2"/>
        <v>50000</v>
      </c>
      <c r="F52" s="439">
        <v>50000</v>
      </c>
      <c r="G52" s="440">
        <v>0</v>
      </c>
    </row>
    <row r="53" spans="1:8" s="313" customFormat="1" ht="15.75" customHeight="1">
      <c r="A53" s="219" t="s">
        <v>44</v>
      </c>
      <c r="B53" s="441" t="s">
        <v>129</v>
      </c>
      <c r="C53" s="397">
        <v>15000</v>
      </c>
      <c r="D53" s="398">
        <v>15000</v>
      </c>
      <c r="E53" s="399">
        <f t="shared" si="2"/>
        <v>50000</v>
      </c>
      <c r="F53" s="442">
        <v>50000</v>
      </c>
      <c r="G53" s="443">
        <v>0</v>
      </c>
      <c r="H53" s="335"/>
    </row>
    <row r="54" spans="1:8" s="313" customFormat="1" ht="15" customHeight="1">
      <c r="A54" s="221"/>
      <c r="B54" s="413" t="s">
        <v>130</v>
      </c>
      <c r="C54" s="379"/>
      <c r="D54" s="380"/>
      <c r="E54" s="381">
        <f t="shared" si="2"/>
        <v>10000</v>
      </c>
      <c r="F54" s="444">
        <v>10000</v>
      </c>
      <c r="G54" s="445">
        <v>0</v>
      </c>
      <c r="H54" s="313" t="s">
        <v>131</v>
      </c>
    </row>
    <row r="55" spans="1:8" s="313" customFormat="1" ht="16.5" customHeight="1">
      <c r="A55" s="222"/>
      <c r="B55" s="394" t="s">
        <v>132</v>
      </c>
      <c r="C55" s="379"/>
      <c r="D55" s="380"/>
      <c r="E55" s="381">
        <f t="shared" si="2"/>
        <v>40000</v>
      </c>
      <c r="F55" s="444">
        <v>40000</v>
      </c>
      <c r="G55" s="445">
        <v>0</v>
      </c>
      <c r="H55" s="313" t="s">
        <v>133</v>
      </c>
    </row>
    <row r="56" spans="1:8" s="313" customFormat="1" ht="18" customHeight="1">
      <c r="A56" s="222"/>
      <c r="B56" s="394" t="s">
        <v>68</v>
      </c>
      <c r="C56" s="379"/>
      <c r="D56" s="380"/>
      <c r="E56" s="381">
        <f t="shared" si="2"/>
        <v>14000</v>
      </c>
      <c r="F56" s="444">
        <v>14000</v>
      </c>
      <c r="G56" s="445">
        <v>0</v>
      </c>
      <c r="H56" s="313" t="s">
        <v>134</v>
      </c>
    </row>
    <row r="57" spans="1:8" s="313" customFormat="1" ht="16.5" customHeight="1">
      <c r="A57" s="222"/>
      <c r="B57" s="378" t="s">
        <v>149</v>
      </c>
      <c r="C57" s="435"/>
      <c r="D57" s="435"/>
      <c r="E57" s="401">
        <f t="shared" si="2"/>
        <v>66000</v>
      </c>
      <c r="F57" s="435">
        <v>66000</v>
      </c>
      <c r="G57" s="382">
        <v>0</v>
      </c>
      <c r="H57" s="313" t="s">
        <v>135</v>
      </c>
    </row>
    <row r="58" spans="1:7" s="313" customFormat="1" ht="18" customHeight="1">
      <c r="A58" s="223"/>
      <c r="B58" s="434" t="s">
        <v>123</v>
      </c>
      <c r="C58" s="435"/>
      <c r="D58" s="435"/>
      <c r="E58" s="401">
        <f t="shared" si="2"/>
        <v>25000</v>
      </c>
      <c r="F58" s="435">
        <v>25000</v>
      </c>
      <c r="G58" s="382">
        <v>0</v>
      </c>
    </row>
    <row r="59" spans="1:7" s="313" customFormat="1" ht="16.5" customHeight="1">
      <c r="A59" s="223"/>
      <c r="B59" s="434" t="s">
        <v>115</v>
      </c>
      <c r="C59" s="435"/>
      <c r="D59" s="435"/>
      <c r="E59" s="401">
        <f t="shared" si="2"/>
        <v>15000</v>
      </c>
      <c r="F59" s="435">
        <v>15000</v>
      </c>
      <c r="G59" s="382">
        <v>0</v>
      </c>
    </row>
    <row r="60" spans="1:7" s="313" customFormat="1" ht="16.5" customHeight="1">
      <c r="A60" s="223"/>
      <c r="B60" s="434" t="s">
        <v>182</v>
      </c>
      <c r="C60" s="435"/>
      <c r="D60" s="435"/>
      <c r="E60" s="401">
        <f t="shared" si="2"/>
        <v>381000</v>
      </c>
      <c r="F60" s="435">
        <v>381000</v>
      </c>
      <c r="G60" s="382">
        <v>0</v>
      </c>
    </row>
    <row r="61" spans="1:8" s="313" customFormat="1" ht="16.5" customHeight="1">
      <c r="A61" s="223"/>
      <c r="B61" s="434" t="s">
        <v>124</v>
      </c>
      <c r="C61" s="435">
        <v>12500</v>
      </c>
      <c r="D61" s="435">
        <v>12500</v>
      </c>
      <c r="E61" s="401">
        <f t="shared" si="2"/>
        <v>0</v>
      </c>
      <c r="F61" s="435">
        <v>0</v>
      </c>
      <c r="G61" s="382">
        <v>0</v>
      </c>
      <c r="H61" s="313" t="s">
        <v>70</v>
      </c>
    </row>
    <row r="62" spans="1:7" s="313" customFormat="1" ht="16.5" customHeight="1">
      <c r="A62" s="223"/>
      <c r="B62" s="434" t="s">
        <v>180</v>
      </c>
      <c r="C62" s="435"/>
      <c r="D62" s="435"/>
      <c r="E62" s="401">
        <f t="shared" si="2"/>
        <v>3950</v>
      </c>
      <c r="F62" s="435">
        <v>3950</v>
      </c>
      <c r="G62" s="382"/>
    </row>
    <row r="63" spans="1:7" s="313" customFormat="1" ht="16.5" customHeight="1">
      <c r="A63" s="223"/>
      <c r="B63" s="434" t="s">
        <v>181</v>
      </c>
      <c r="C63" s="435"/>
      <c r="D63" s="435"/>
      <c r="E63" s="401">
        <f t="shared" si="2"/>
        <v>0</v>
      </c>
      <c r="F63" s="435">
        <f>3050-3050</f>
        <v>0</v>
      </c>
      <c r="G63" s="382"/>
    </row>
    <row r="64" spans="1:7" s="313" customFormat="1" ht="18" customHeight="1">
      <c r="A64" s="223"/>
      <c r="B64" s="434" t="s">
        <v>136</v>
      </c>
      <c r="C64" s="435">
        <v>12500</v>
      </c>
      <c r="D64" s="435">
        <v>12500</v>
      </c>
      <c r="E64" s="401">
        <f t="shared" si="2"/>
        <v>0</v>
      </c>
      <c r="F64" s="435">
        <f>105000-105000</f>
        <v>0</v>
      </c>
      <c r="G64" s="382">
        <v>0</v>
      </c>
    </row>
    <row r="65" spans="1:7" s="313" customFormat="1" ht="17.25" customHeight="1">
      <c r="A65" s="223"/>
      <c r="B65" s="434" t="s">
        <v>170</v>
      </c>
      <c r="C65" s="435"/>
      <c r="D65" s="435"/>
      <c r="E65" s="401">
        <f t="shared" si="2"/>
        <v>360000</v>
      </c>
      <c r="F65" s="435">
        <f>350000+10000</f>
        <v>360000</v>
      </c>
      <c r="G65" s="382">
        <v>0</v>
      </c>
    </row>
    <row r="66" spans="1:7" s="313" customFormat="1" ht="16.5" customHeight="1">
      <c r="A66" s="223"/>
      <c r="B66" s="434" t="s">
        <v>171</v>
      </c>
      <c r="C66" s="435"/>
      <c r="D66" s="435"/>
      <c r="E66" s="401">
        <f t="shared" si="2"/>
        <v>0</v>
      </c>
      <c r="F66" s="435">
        <f>160000-160000</f>
        <v>0</v>
      </c>
      <c r="G66" s="382">
        <v>0</v>
      </c>
    </row>
    <row r="67" spans="1:7" s="313" customFormat="1" ht="16.5" customHeight="1" hidden="1">
      <c r="A67" s="754" t="s">
        <v>6</v>
      </c>
      <c r="B67" s="822" t="s">
        <v>7</v>
      </c>
      <c r="C67" s="446" t="s">
        <v>18</v>
      </c>
      <c r="D67" s="446" t="s">
        <v>8</v>
      </c>
      <c r="E67" s="824" t="s">
        <v>47</v>
      </c>
      <c r="F67" s="826" t="s">
        <v>19</v>
      </c>
      <c r="G67" s="827"/>
    </row>
    <row r="68" spans="1:7" s="313" customFormat="1" ht="16.5" customHeight="1" hidden="1">
      <c r="A68" s="777"/>
      <c r="B68" s="823"/>
      <c r="C68" s="446" t="s">
        <v>0</v>
      </c>
      <c r="D68" s="446" t="s">
        <v>14</v>
      </c>
      <c r="E68" s="825"/>
      <c r="F68" s="828" t="s">
        <v>13</v>
      </c>
      <c r="G68" s="829" t="s">
        <v>20</v>
      </c>
    </row>
    <row r="69" spans="1:7" s="313" customFormat="1" ht="16.5" customHeight="1" hidden="1">
      <c r="A69" s="778"/>
      <c r="B69" s="823"/>
      <c r="C69" s="446"/>
      <c r="D69" s="446" t="s">
        <v>15</v>
      </c>
      <c r="E69" s="825"/>
      <c r="F69" s="825"/>
      <c r="G69" s="830"/>
    </row>
    <row r="70" spans="1:7" s="313" customFormat="1" ht="16.5" customHeight="1" hidden="1">
      <c r="A70" s="325"/>
      <c r="B70" s="447" t="s">
        <v>105</v>
      </c>
      <c r="C70" s="448"/>
      <c r="D70" s="448"/>
      <c r="E70" s="449">
        <f>SUM(F70:G70)</f>
        <v>0</v>
      </c>
      <c r="F70" s="448">
        <v>0</v>
      </c>
      <c r="G70" s="450"/>
    </row>
    <row r="71" spans="1:7" s="313" customFormat="1" ht="19.5" customHeight="1" hidden="1">
      <c r="A71" s="223"/>
      <c r="B71" s="451"/>
      <c r="C71" s="365"/>
      <c r="D71" s="366"/>
      <c r="E71" s="366"/>
      <c r="F71" s="365"/>
      <c r="G71" s="365"/>
    </row>
    <row r="72" spans="1:7" s="313" customFormat="1" ht="39.75" customHeight="1" hidden="1">
      <c r="A72" s="182" t="s">
        <v>29</v>
      </c>
      <c r="B72" s="415" t="s">
        <v>34</v>
      </c>
      <c r="C72" s="452"/>
      <c r="D72" s="453"/>
      <c r="E72" s="442">
        <f>SUM(F72:G72)</f>
        <v>0</v>
      </c>
      <c r="F72" s="443">
        <f>SUM(F73:F76)</f>
        <v>0</v>
      </c>
      <c r="G72" s="443">
        <v>0</v>
      </c>
    </row>
    <row r="73" spans="1:7" s="313" customFormat="1" ht="16.5" customHeight="1" hidden="1">
      <c r="A73" s="224"/>
      <c r="B73" s="454" t="s">
        <v>30</v>
      </c>
      <c r="C73" s="455"/>
      <c r="D73" s="456"/>
      <c r="E73" s="457"/>
      <c r="F73" s="458">
        <v>0</v>
      </c>
      <c r="G73" s="458">
        <v>0</v>
      </c>
    </row>
    <row r="74" spans="1:7" s="313" customFormat="1" ht="16.5" customHeight="1" hidden="1">
      <c r="A74" s="208"/>
      <c r="B74" s="459" t="s">
        <v>31</v>
      </c>
      <c r="C74" s="460"/>
      <c r="D74" s="461"/>
      <c r="E74" s="462"/>
      <c r="F74" s="463">
        <v>0</v>
      </c>
      <c r="G74" s="463">
        <v>0</v>
      </c>
    </row>
    <row r="75" spans="1:7" s="313" customFormat="1" ht="16.5" customHeight="1" hidden="1">
      <c r="A75" s="208"/>
      <c r="B75" s="459" t="s">
        <v>32</v>
      </c>
      <c r="C75" s="460"/>
      <c r="D75" s="461"/>
      <c r="E75" s="462"/>
      <c r="F75" s="463">
        <v>0</v>
      </c>
      <c r="G75" s="463">
        <v>0</v>
      </c>
    </row>
    <row r="76" spans="1:7" s="313" customFormat="1" ht="16.5" customHeight="1" hidden="1">
      <c r="A76" s="225"/>
      <c r="B76" s="464" t="s">
        <v>33</v>
      </c>
      <c r="C76" s="465"/>
      <c r="D76" s="466"/>
      <c r="E76" s="467"/>
      <c r="F76" s="468">
        <v>0</v>
      </c>
      <c r="G76" s="468">
        <v>0</v>
      </c>
    </row>
    <row r="77" spans="1:7" s="313" customFormat="1" ht="16.5" customHeight="1" thickBot="1">
      <c r="A77" s="225"/>
      <c r="B77" s="434" t="s">
        <v>177</v>
      </c>
      <c r="C77" s="435"/>
      <c r="D77" s="435"/>
      <c r="E77" s="401">
        <f aca="true" t="shared" si="3" ref="E77:E84">SUM(F77:G77)</f>
        <v>855000</v>
      </c>
      <c r="F77" s="435">
        <f>865000-800000-10000</f>
        <v>55000</v>
      </c>
      <c r="G77" s="382">
        <f>0+800000</f>
        <v>800000</v>
      </c>
    </row>
    <row r="78" spans="1:7" s="313" customFormat="1" ht="16.5" customHeight="1" thickBot="1">
      <c r="A78" s="185" t="s">
        <v>137</v>
      </c>
      <c r="B78" s="469"/>
      <c r="C78" s="470"/>
      <c r="D78" s="471"/>
      <c r="E78" s="472">
        <f t="shared" si="3"/>
        <v>35000</v>
      </c>
      <c r="F78" s="473">
        <f>SUM(F79:F80)</f>
        <v>35000</v>
      </c>
      <c r="G78" s="474">
        <f>SUM(G79:G81)</f>
        <v>0</v>
      </c>
    </row>
    <row r="79" spans="1:7" s="313" customFormat="1" ht="30" customHeight="1" thickBot="1">
      <c r="A79" s="225" t="s">
        <v>138</v>
      </c>
      <c r="B79" s="425" t="s">
        <v>139</v>
      </c>
      <c r="C79" s="465"/>
      <c r="D79" s="466"/>
      <c r="E79" s="399">
        <f t="shared" si="3"/>
        <v>15000</v>
      </c>
      <c r="F79" s="475">
        <v>15000</v>
      </c>
      <c r="G79" s="424">
        <v>0</v>
      </c>
    </row>
    <row r="80" spans="1:7" s="313" customFormat="1" ht="19.5" customHeight="1" thickBot="1">
      <c r="A80" s="229"/>
      <c r="B80" s="425" t="s">
        <v>140</v>
      </c>
      <c r="C80" s="465"/>
      <c r="D80" s="466"/>
      <c r="E80" s="399">
        <f t="shared" si="3"/>
        <v>20000</v>
      </c>
      <c r="F80" s="475">
        <v>20000</v>
      </c>
      <c r="G80" s="424">
        <v>0</v>
      </c>
    </row>
    <row r="81" spans="1:7" s="313" customFormat="1" ht="15.75" customHeight="1" thickBot="1">
      <c r="A81" s="185" t="s">
        <v>36</v>
      </c>
      <c r="B81" s="476"/>
      <c r="C81" s="477"/>
      <c r="D81" s="477"/>
      <c r="E81" s="478">
        <f t="shared" si="3"/>
        <v>35100</v>
      </c>
      <c r="F81" s="479">
        <f>SUM(F82:F84)</f>
        <v>35100</v>
      </c>
      <c r="G81" s="479">
        <f>SUM(G82:G96)</f>
        <v>0</v>
      </c>
    </row>
    <row r="82" spans="1:7" s="313" customFormat="1" ht="17.25" customHeight="1" thickBot="1">
      <c r="A82" s="2" t="s">
        <v>4</v>
      </c>
      <c r="B82" s="480" t="s">
        <v>169</v>
      </c>
      <c r="C82" s="481"/>
      <c r="D82" s="482"/>
      <c r="E82" s="483">
        <f t="shared" si="3"/>
        <v>5100</v>
      </c>
      <c r="F82" s="484">
        <v>5100</v>
      </c>
      <c r="G82" s="485">
        <v>0</v>
      </c>
    </row>
    <row r="83" spans="1:7" s="313" customFormat="1" ht="15" customHeight="1" thickBot="1">
      <c r="A83" s="177"/>
      <c r="B83" s="480" t="s">
        <v>172</v>
      </c>
      <c r="C83" s="481"/>
      <c r="D83" s="482"/>
      <c r="E83" s="483">
        <f t="shared" si="3"/>
        <v>20000</v>
      </c>
      <c r="F83" s="484">
        <f>45000-25000</f>
        <v>20000</v>
      </c>
      <c r="G83" s="485">
        <v>0</v>
      </c>
    </row>
    <row r="84" spans="1:7" s="313" customFormat="1" ht="22.5" customHeight="1" thickBot="1">
      <c r="A84" s="182" t="s">
        <v>106</v>
      </c>
      <c r="B84" s="486" t="s">
        <v>125</v>
      </c>
      <c r="C84" s="481"/>
      <c r="D84" s="482"/>
      <c r="E84" s="487">
        <f t="shared" si="3"/>
        <v>10000</v>
      </c>
      <c r="F84" s="488">
        <v>10000</v>
      </c>
      <c r="G84" s="485">
        <v>0</v>
      </c>
    </row>
    <row r="85" spans="1:7" s="313" customFormat="1" ht="15" customHeight="1" hidden="1">
      <c r="A85" s="177"/>
      <c r="B85" s="489"/>
      <c r="C85" s="490"/>
      <c r="D85" s="490"/>
      <c r="E85" s="491"/>
      <c r="F85" s="492"/>
      <c r="G85" s="463"/>
    </row>
    <row r="86" spans="1:7" s="313" customFormat="1" ht="15" customHeight="1" hidden="1">
      <c r="A86" s="177"/>
      <c r="B86" s="489"/>
      <c r="C86" s="490"/>
      <c r="D86" s="490"/>
      <c r="E86" s="491"/>
      <c r="F86" s="492"/>
      <c r="G86" s="463"/>
    </row>
    <row r="87" spans="1:7" s="313" customFormat="1" ht="26.25" customHeight="1" thickBot="1">
      <c r="A87" s="185" t="s">
        <v>66</v>
      </c>
      <c r="B87" s="476"/>
      <c r="C87" s="477"/>
      <c r="D87" s="477"/>
      <c r="E87" s="478">
        <f aca="true" t="shared" si="4" ref="E87:E92">SUM(F87:G87)</f>
        <v>60000</v>
      </c>
      <c r="F87" s="479">
        <f>SUM(F88:F89)</f>
        <v>60000</v>
      </c>
      <c r="G87" s="479">
        <f>SUM(G88:G98)</f>
        <v>0</v>
      </c>
    </row>
    <row r="88" spans="1:7" s="313" customFormat="1" ht="31.5" customHeight="1" hidden="1">
      <c r="A88" s="183" t="s">
        <v>48</v>
      </c>
      <c r="B88" s="493" t="s">
        <v>49</v>
      </c>
      <c r="C88" s="437"/>
      <c r="D88" s="438"/>
      <c r="E88" s="494">
        <f t="shared" si="4"/>
        <v>0</v>
      </c>
      <c r="F88" s="437">
        <v>0</v>
      </c>
      <c r="G88" s="495">
        <v>0</v>
      </c>
    </row>
    <row r="89" spans="1:8" s="313" customFormat="1" ht="15.75" thickBot="1">
      <c r="A89" s="183" t="s">
        <v>65</v>
      </c>
      <c r="B89" s="493" t="s">
        <v>173</v>
      </c>
      <c r="C89" s="437"/>
      <c r="D89" s="438"/>
      <c r="E89" s="494">
        <f t="shared" si="4"/>
        <v>60000</v>
      </c>
      <c r="F89" s="437">
        <f>35000+25000</f>
        <v>60000</v>
      </c>
      <c r="G89" s="495">
        <v>0</v>
      </c>
      <c r="H89" s="313" t="s">
        <v>109</v>
      </c>
    </row>
    <row r="90" spans="1:7" s="313" customFormat="1" ht="14.25" customHeight="1" thickBot="1">
      <c r="A90" s="185" t="s">
        <v>60</v>
      </c>
      <c r="B90" s="469"/>
      <c r="C90" s="470"/>
      <c r="D90" s="471"/>
      <c r="E90" s="472">
        <f t="shared" si="4"/>
        <v>342</v>
      </c>
      <c r="F90" s="473">
        <f>SUM(F91)</f>
        <v>342</v>
      </c>
      <c r="G90" s="474">
        <f>SUM(G91:G92)</f>
        <v>0</v>
      </c>
    </row>
    <row r="91" spans="1:7" s="313" customFormat="1" ht="16.5" customHeight="1" thickBot="1">
      <c r="A91" s="229" t="s">
        <v>61</v>
      </c>
      <c r="B91" s="425" t="s">
        <v>62</v>
      </c>
      <c r="C91" s="465"/>
      <c r="D91" s="466"/>
      <c r="E91" s="399">
        <f t="shared" si="4"/>
        <v>342</v>
      </c>
      <c r="F91" s="475">
        <v>342</v>
      </c>
      <c r="G91" s="424">
        <v>0</v>
      </c>
    </row>
    <row r="92" spans="1:7" s="313" customFormat="1" ht="28.5" customHeight="1" hidden="1">
      <c r="A92" s="183" t="s">
        <v>48</v>
      </c>
      <c r="B92" s="493" t="s">
        <v>49</v>
      </c>
      <c r="C92" s="437"/>
      <c r="D92" s="438"/>
      <c r="E92" s="494">
        <f t="shared" si="4"/>
        <v>0</v>
      </c>
      <c r="F92" s="437">
        <v>0</v>
      </c>
      <c r="G92" s="495">
        <v>0</v>
      </c>
    </row>
    <row r="93" spans="1:7" s="313" customFormat="1" ht="12.75" customHeight="1" hidden="1">
      <c r="A93" s="751" t="s">
        <v>6</v>
      </c>
      <c r="B93" s="785" t="s">
        <v>7</v>
      </c>
      <c r="C93" s="406" t="s">
        <v>18</v>
      </c>
      <c r="D93" s="407" t="s">
        <v>8</v>
      </c>
      <c r="E93" s="787" t="s">
        <v>96</v>
      </c>
      <c r="F93" s="834" t="s">
        <v>19</v>
      </c>
      <c r="G93" s="835"/>
    </row>
    <row r="94" spans="1:7" s="313" customFormat="1" ht="12.75" customHeight="1" hidden="1">
      <c r="A94" s="779"/>
      <c r="B94" s="831"/>
      <c r="C94" s="408" t="s">
        <v>0</v>
      </c>
      <c r="D94" s="409" t="s">
        <v>14</v>
      </c>
      <c r="E94" s="788"/>
      <c r="F94" s="836" t="s">
        <v>54</v>
      </c>
      <c r="G94" s="838" t="s">
        <v>55</v>
      </c>
    </row>
    <row r="95" spans="1:7" s="313" customFormat="1" ht="10.5" customHeight="1" hidden="1">
      <c r="A95" s="780"/>
      <c r="B95" s="832"/>
      <c r="C95" s="410"/>
      <c r="D95" s="411" t="s">
        <v>15</v>
      </c>
      <c r="E95" s="833"/>
      <c r="F95" s="837"/>
      <c r="G95" s="839"/>
    </row>
    <row r="96" spans="1:7" s="313" customFormat="1" ht="20.25" customHeight="1" hidden="1">
      <c r="A96" s="188"/>
      <c r="B96" s="496" t="s">
        <v>38</v>
      </c>
      <c r="C96" s="460"/>
      <c r="D96" s="461"/>
      <c r="E96" s="483">
        <f aca="true" t="shared" si="5" ref="E96:E114">SUM(F96:G96)</f>
        <v>0</v>
      </c>
      <c r="F96" s="484">
        <v>0</v>
      </c>
      <c r="G96" s="485">
        <v>0</v>
      </c>
    </row>
    <row r="97" spans="1:9" s="304" customFormat="1" ht="16.5" customHeight="1" thickBot="1">
      <c r="A97" s="185" t="s">
        <v>12</v>
      </c>
      <c r="B97" s="497"/>
      <c r="C97" s="498">
        <v>12500</v>
      </c>
      <c r="D97" s="499">
        <v>12500</v>
      </c>
      <c r="E97" s="472">
        <f t="shared" si="5"/>
        <v>2058387</v>
      </c>
      <c r="F97" s="500">
        <f>SUM(F98:F108)+F109</f>
        <v>2058387</v>
      </c>
      <c r="G97" s="474">
        <f>SUM(G98:G102)</f>
        <v>0</v>
      </c>
      <c r="H97" s="207"/>
      <c r="I97" s="207"/>
    </row>
    <row r="98" spans="1:9" s="304" customFormat="1" ht="18.75" customHeight="1">
      <c r="A98" s="293" t="s">
        <v>26</v>
      </c>
      <c r="B98" s="416" t="s">
        <v>101</v>
      </c>
      <c r="C98" s="501"/>
      <c r="D98" s="502"/>
      <c r="E98" s="381">
        <f t="shared" si="5"/>
        <v>550000</v>
      </c>
      <c r="F98" s="503">
        <v>550000</v>
      </c>
      <c r="G98" s="445">
        <v>0</v>
      </c>
      <c r="H98" s="207"/>
      <c r="I98" s="207"/>
    </row>
    <row r="99" spans="1:9" s="304" customFormat="1" ht="21" customHeight="1">
      <c r="A99" s="294"/>
      <c r="B99" s="416" t="s">
        <v>112</v>
      </c>
      <c r="C99" s="501"/>
      <c r="D99" s="502"/>
      <c r="E99" s="381">
        <f t="shared" si="5"/>
        <v>1245687</v>
      </c>
      <c r="F99" s="503">
        <f>1205687+40000</f>
        <v>1245687</v>
      </c>
      <c r="G99" s="445">
        <v>0</v>
      </c>
      <c r="H99" s="207"/>
      <c r="I99" s="207"/>
    </row>
    <row r="100" spans="1:9" s="304" customFormat="1" ht="19.5" customHeight="1">
      <c r="A100" s="295"/>
      <c r="B100" s="415" t="s">
        <v>92</v>
      </c>
      <c r="C100" s="504">
        <v>47000</v>
      </c>
      <c r="D100" s="505">
        <v>47000</v>
      </c>
      <c r="E100" s="399">
        <f t="shared" si="5"/>
        <v>10000</v>
      </c>
      <c r="F100" s="506">
        <v>10000</v>
      </c>
      <c r="G100" s="443">
        <v>0</v>
      </c>
      <c r="H100" s="207"/>
      <c r="I100" s="207"/>
    </row>
    <row r="101" spans="1:9" s="304" customFormat="1" ht="18" customHeight="1" thickBot="1">
      <c r="A101" s="296"/>
      <c r="B101" s="507" t="s">
        <v>122</v>
      </c>
      <c r="C101" s="508"/>
      <c r="D101" s="508"/>
      <c r="E101" s="399">
        <f t="shared" si="5"/>
        <v>7000</v>
      </c>
      <c r="F101" s="506">
        <v>7000</v>
      </c>
      <c r="G101" s="443"/>
      <c r="H101" s="207"/>
      <c r="I101" s="207"/>
    </row>
    <row r="102" spans="1:9" s="304" customFormat="1" ht="17.25" customHeight="1">
      <c r="A102" s="259" t="s">
        <v>27</v>
      </c>
      <c r="B102" s="415" t="s">
        <v>174</v>
      </c>
      <c r="C102" s="501"/>
      <c r="D102" s="502"/>
      <c r="E102" s="444">
        <f t="shared" si="5"/>
        <v>240000</v>
      </c>
      <c r="F102" s="503">
        <f>210000+30000</f>
        <v>240000</v>
      </c>
      <c r="G102" s="445">
        <v>0</v>
      </c>
      <c r="H102" s="207"/>
      <c r="I102" s="207"/>
    </row>
    <row r="103" spans="1:7" ht="15.75" hidden="1">
      <c r="A103" s="184" t="s">
        <v>63</v>
      </c>
      <c r="B103" s="416"/>
      <c r="C103" s="379"/>
      <c r="D103" s="380"/>
      <c r="E103" s="509">
        <f t="shared" si="5"/>
        <v>0</v>
      </c>
      <c r="F103" s="510">
        <f>SUM(F104)</f>
        <v>0</v>
      </c>
      <c r="G103" s="511">
        <f>SUM(G104)</f>
        <v>0</v>
      </c>
    </row>
    <row r="104" spans="1:7" ht="24" customHeight="1" hidden="1">
      <c r="A104" s="1" t="s">
        <v>64</v>
      </c>
      <c r="B104" s="493" t="s">
        <v>87</v>
      </c>
      <c r="C104" s="437"/>
      <c r="D104" s="438"/>
      <c r="E104" s="512">
        <f t="shared" si="5"/>
        <v>0</v>
      </c>
      <c r="F104" s="439">
        <v>0</v>
      </c>
      <c r="G104" s="440">
        <v>0</v>
      </c>
    </row>
    <row r="105" spans="1:7" ht="24" customHeight="1" hidden="1">
      <c r="A105" s="260"/>
      <c r="B105" s="416" t="s">
        <v>110</v>
      </c>
      <c r="C105" s="501"/>
      <c r="D105" s="502"/>
      <c r="E105" s="444">
        <f t="shared" si="5"/>
        <v>0</v>
      </c>
      <c r="F105" s="503">
        <v>0</v>
      </c>
      <c r="G105" s="513">
        <v>0</v>
      </c>
    </row>
    <row r="106" spans="1:7" ht="16.5" customHeight="1" hidden="1">
      <c r="A106" s="165"/>
      <c r="B106" s="416" t="s">
        <v>111</v>
      </c>
      <c r="C106" s="501"/>
      <c r="D106" s="502"/>
      <c r="E106" s="444">
        <f t="shared" si="5"/>
        <v>0</v>
      </c>
      <c r="F106" s="503">
        <v>0</v>
      </c>
      <c r="G106" s="445">
        <v>0</v>
      </c>
    </row>
    <row r="107" spans="1:7" ht="18" customHeight="1" hidden="1">
      <c r="A107" s="166" t="s">
        <v>99</v>
      </c>
      <c r="B107" s="416" t="s">
        <v>100</v>
      </c>
      <c r="C107" s="501"/>
      <c r="D107" s="502"/>
      <c r="E107" s="444">
        <f t="shared" si="5"/>
        <v>0</v>
      </c>
      <c r="F107" s="503">
        <v>0</v>
      </c>
      <c r="G107" s="445">
        <v>0</v>
      </c>
    </row>
    <row r="108" spans="1:7" ht="18" customHeight="1" hidden="1">
      <c r="A108" s="179"/>
      <c r="B108" s="415" t="s">
        <v>92</v>
      </c>
      <c r="C108" s="504">
        <v>47000</v>
      </c>
      <c r="D108" s="505">
        <v>47000</v>
      </c>
      <c r="E108" s="399">
        <f t="shared" si="5"/>
        <v>0</v>
      </c>
      <c r="F108" s="506">
        <v>0</v>
      </c>
      <c r="G108" s="443">
        <v>0</v>
      </c>
    </row>
    <row r="109" spans="1:7" ht="18" customHeight="1" thickBot="1">
      <c r="A109" s="179" t="s">
        <v>178</v>
      </c>
      <c r="B109" s="496" t="s">
        <v>179</v>
      </c>
      <c r="C109" s="514"/>
      <c r="D109" s="515"/>
      <c r="E109" s="444">
        <f t="shared" si="5"/>
        <v>5700</v>
      </c>
      <c r="F109" s="503">
        <v>5700</v>
      </c>
      <c r="G109" s="445">
        <v>0</v>
      </c>
    </row>
    <row r="110" spans="1:7" ht="18" customHeight="1" thickBot="1">
      <c r="A110" s="185" t="s">
        <v>107</v>
      </c>
      <c r="B110" s="497"/>
      <c r="C110" s="498">
        <v>12500</v>
      </c>
      <c r="D110" s="499">
        <v>12500</v>
      </c>
      <c r="E110" s="472">
        <f t="shared" si="5"/>
        <v>50000</v>
      </c>
      <c r="F110" s="516">
        <f>SUM(F111)</f>
        <v>50000</v>
      </c>
      <c r="G110" s="474">
        <f>SUM(G111)</f>
        <v>0</v>
      </c>
    </row>
    <row r="111" spans="1:7" ht="20.25" customHeight="1" thickBot="1">
      <c r="A111" s="3" t="s">
        <v>108</v>
      </c>
      <c r="B111" s="416" t="s">
        <v>162</v>
      </c>
      <c r="C111" s="501"/>
      <c r="D111" s="502"/>
      <c r="E111" s="381">
        <f t="shared" si="5"/>
        <v>50000</v>
      </c>
      <c r="F111" s="503">
        <v>50000</v>
      </c>
      <c r="G111" s="445">
        <v>0</v>
      </c>
    </row>
    <row r="112" spans="1:7" ht="31.5" customHeight="1" thickBot="1">
      <c r="A112" s="186" t="s">
        <v>9</v>
      </c>
      <c r="B112" s="426"/>
      <c r="C112" s="427">
        <v>40000</v>
      </c>
      <c r="D112" s="517">
        <v>40000</v>
      </c>
      <c r="E112" s="472">
        <f t="shared" si="5"/>
        <v>143500</v>
      </c>
      <c r="F112" s="518">
        <f>SUM(F114:F119)</f>
        <v>143500</v>
      </c>
      <c r="G112" s="519">
        <f>SUM(G114:G119)</f>
        <v>0</v>
      </c>
    </row>
    <row r="113" spans="1:7" s="313" customFormat="1" ht="13.5" customHeight="1" hidden="1">
      <c r="A113" s="230"/>
      <c r="B113" s="520"/>
      <c r="C113" s="521"/>
      <c r="D113" s="522"/>
      <c r="E113" s="399">
        <f t="shared" si="5"/>
        <v>0</v>
      </c>
      <c r="F113" s="523"/>
      <c r="G113" s="511"/>
    </row>
    <row r="114" spans="1:7" s="313" customFormat="1" ht="19.5" customHeight="1" hidden="1">
      <c r="A114" s="231" t="s">
        <v>89</v>
      </c>
      <c r="B114" s="524" t="s">
        <v>91</v>
      </c>
      <c r="C114" s="525">
        <v>36475</v>
      </c>
      <c r="D114" s="526">
        <v>36475</v>
      </c>
      <c r="E114" s="494">
        <f t="shared" si="5"/>
        <v>0</v>
      </c>
      <c r="F114" s="527">
        <v>0</v>
      </c>
      <c r="G114" s="440">
        <v>0</v>
      </c>
    </row>
    <row r="115" spans="1:7" s="313" customFormat="1" ht="15.75" customHeight="1" hidden="1">
      <c r="A115" s="751" t="s">
        <v>6</v>
      </c>
      <c r="B115" s="785" t="s">
        <v>7</v>
      </c>
      <c r="C115" s="406" t="s">
        <v>18</v>
      </c>
      <c r="D115" s="407" t="s">
        <v>8</v>
      </c>
      <c r="E115" s="813" t="s">
        <v>37</v>
      </c>
      <c r="F115" s="816" t="s">
        <v>19</v>
      </c>
      <c r="G115" s="817"/>
    </row>
    <row r="116" spans="1:7" s="313" customFormat="1" ht="16.5" hidden="1" thickBot="1">
      <c r="A116" s="779"/>
      <c r="B116" s="831"/>
      <c r="C116" s="408" t="s">
        <v>0</v>
      </c>
      <c r="D116" s="409" t="s">
        <v>14</v>
      </c>
      <c r="E116" s="814"/>
      <c r="F116" s="818" t="s">
        <v>13</v>
      </c>
      <c r="G116" s="820" t="s">
        <v>20</v>
      </c>
    </row>
    <row r="117" spans="1:7" s="313" customFormat="1" ht="15" customHeight="1" hidden="1">
      <c r="A117" s="780"/>
      <c r="B117" s="832"/>
      <c r="C117" s="410"/>
      <c r="D117" s="411" t="s">
        <v>15</v>
      </c>
      <c r="E117" s="815"/>
      <c r="F117" s="819"/>
      <c r="G117" s="821"/>
    </row>
    <row r="118" spans="1:7" s="313" customFormat="1" ht="45" customHeight="1" hidden="1">
      <c r="A118" s="231" t="s">
        <v>40</v>
      </c>
      <c r="B118" s="528" t="s">
        <v>41</v>
      </c>
      <c r="C118" s="529">
        <v>36475</v>
      </c>
      <c r="D118" s="530">
        <v>36475</v>
      </c>
      <c r="E118" s="400">
        <f aca="true" t="shared" si="6" ref="E118:E128">SUM(F118:G118)</f>
        <v>0</v>
      </c>
      <c r="F118" s="531">
        <v>0</v>
      </c>
      <c r="G118" s="513">
        <v>0</v>
      </c>
    </row>
    <row r="119" spans="1:7" s="313" customFormat="1" ht="18" customHeight="1" thickBot="1">
      <c r="A119" s="262" t="s">
        <v>35</v>
      </c>
      <c r="B119" s="532"/>
      <c r="C119" s="533"/>
      <c r="D119" s="534"/>
      <c r="E119" s="535">
        <f t="shared" si="6"/>
        <v>143500</v>
      </c>
      <c r="F119" s="536">
        <f>SUM(F120:F128)</f>
        <v>143500</v>
      </c>
      <c r="G119" s="536">
        <f>SUM(G120:G128)</f>
        <v>0</v>
      </c>
    </row>
    <row r="120" spans="1:7" s="313" customFormat="1" ht="16.5" customHeight="1">
      <c r="A120" s="263"/>
      <c r="B120" s="537" t="s">
        <v>116</v>
      </c>
      <c r="C120" s="538">
        <v>36475</v>
      </c>
      <c r="D120" s="539">
        <v>36475</v>
      </c>
      <c r="E120" s="540">
        <f t="shared" si="6"/>
        <v>40000</v>
      </c>
      <c r="F120" s="488">
        <v>40000</v>
      </c>
      <c r="G120" s="393">
        <v>0</v>
      </c>
    </row>
    <row r="121" spans="1:7" s="313" customFormat="1" ht="16.5" customHeight="1">
      <c r="A121" s="223"/>
      <c r="B121" s="541" t="s">
        <v>117</v>
      </c>
      <c r="C121" s="542"/>
      <c r="D121" s="543"/>
      <c r="E121" s="401">
        <f t="shared" si="6"/>
        <v>15000</v>
      </c>
      <c r="F121" s="435">
        <v>15000</v>
      </c>
      <c r="G121" s="382">
        <v>0</v>
      </c>
    </row>
    <row r="122" spans="1:7" s="313" customFormat="1" ht="18" customHeight="1">
      <c r="A122" s="223"/>
      <c r="B122" s="541" t="s">
        <v>118</v>
      </c>
      <c r="C122" s="538"/>
      <c r="D122" s="539"/>
      <c r="E122" s="401">
        <f t="shared" si="6"/>
        <v>8000</v>
      </c>
      <c r="F122" s="488">
        <v>8000</v>
      </c>
      <c r="G122" s="393">
        <v>0</v>
      </c>
    </row>
    <row r="123" spans="1:7" s="313" customFormat="1" ht="15.75" customHeight="1">
      <c r="A123" s="223"/>
      <c r="B123" s="544" t="s">
        <v>90</v>
      </c>
      <c r="C123" s="538"/>
      <c r="D123" s="539"/>
      <c r="E123" s="401">
        <f t="shared" si="6"/>
        <v>8200</v>
      </c>
      <c r="F123" s="545">
        <v>8200</v>
      </c>
      <c r="G123" s="393">
        <v>0</v>
      </c>
    </row>
    <row r="124" spans="1:7" s="313" customFormat="1" ht="16.5" customHeight="1">
      <c r="A124" s="223"/>
      <c r="B124" s="541" t="s">
        <v>119</v>
      </c>
      <c r="C124" s="542"/>
      <c r="D124" s="543"/>
      <c r="E124" s="540">
        <f t="shared" si="6"/>
        <v>3000</v>
      </c>
      <c r="F124" s="546">
        <v>3000</v>
      </c>
      <c r="G124" s="382">
        <v>0</v>
      </c>
    </row>
    <row r="125" spans="1:8" s="313" customFormat="1" ht="16.5" customHeight="1">
      <c r="A125" s="223"/>
      <c r="B125" s="541" t="s">
        <v>144</v>
      </c>
      <c r="C125" s="542"/>
      <c r="D125" s="543"/>
      <c r="E125" s="540">
        <f t="shared" si="6"/>
        <v>29000</v>
      </c>
      <c r="F125" s="546">
        <v>29000</v>
      </c>
      <c r="G125" s="382"/>
      <c r="H125" s="313" t="s">
        <v>145</v>
      </c>
    </row>
    <row r="126" spans="1:7" s="313" customFormat="1" ht="17.25" customHeight="1">
      <c r="A126" s="223"/>
      <c r="B126" s="541" t="s">
        <v>121</v>
      </c>
      <c r="C126" s="542"/>
      <c r="D126" s="543"/>
      <c r="E126" s="540">
        <f t="shared" si="6"/>
        <v>3000</v>
      </c>
      <c r="F126" s="546">
        <v>3000</v>
      </c>
      <c r="G126" s="382"/>
    </row>
    <row r="127" spans="1:7" s="313" customFormat="1" ht="20.25" customHeight="1">
      <c r="A127" s="223"/>
      <c r="B127" s="611" t="s">
        <v>141</v>
      </c>
      <c r="C127" s="612"/>
      <c r="D127" s="613"/>
      <c r="E127" s="614">
        <f t="shared" si="6"/>
        <v>24500</v>
      </c>
      <c r="F127" s="615">
        <f>25000-500</f>
        <v>24500</v>
      </c>
      <c r="G127" s="319"/>
    </row>
    <row r="128" spans="1:8" s="313" customFormat="1" ht="20.25" customHeight="1" thickBot="1">
      <c r="A128" s="223"/>
      <c r="B128" s="616" t="s">
        <v>120</v>
      </c>
      <c r="C128" s="617"/>
      <c r="D128" s="618"/>
      <c r="E128" s="619">
        <f t="shared" si="6"/>
        <v>12800</v>
      </c>
      <c r="F128" s="620">
        <f>12300+500</f>
        <v>12800</v>
      </c>
      <c r="G128" s="589"/>
      <c r="H128" s="313" t="s">
        <v>160</v>
      </c>
    </row>
    <row r="129" spans="1:7" ht="15" customHeight="1">
      <c r="A129" s="751" t="s">
        <v>6</v>
      </c>
      <c r="B129" s="785" t="s">
        <v>7</v>
      </c>
      <c r="C129" s="406" t="s">
        <v>18</v>
      </c>
      <c r="D129" s="407" t="s">
        <v>8</v>
      </c>
      <c r="E129" s="813" t="s">
        <v>165</v>
      </c>
      <c r="F129" s="816" t="s">
        <v>19</v>
      </c>
      <c r="G129" s="817"/>
    </row>
    <row r="130" spans="1:7" ht="12.75" customHeight="1">
      <c r="A130" s="779"/>
      <c r="B130" s="831"/>
      <c r="C130" s="408" t="s">
        <v>0</v>
      </c>
      <c r="D130" s="409" t="s">
        <v>14</v>
      </c>
      <c r="E130" s="814"/>
      <c r="F130" s="791" t="s">
        <v>13</v>
      </c>
      <c r="G130" s="793" t="str">
        <f>G5</f>
        <v>środki zewnętrzne (zł)</v>
      </c>
    </row>
    <row r="131" spans="1:7" ht="18" customHeight="1" thickBot="1">
      <c r="A131" s="780"/>
      <c r="B131" s="832"/>
      <c r="C131" s="410"/>
      <c r="D131" s="411" t="s">
        <v>15</v>
      </c>
      <c r="E131" s="815"/>
      <c r="F131" s="840"/>
      <c r="G131" s="841"/>
    </row>
    <row r="132" spans="1:17" ht="28.5" customHeight="1" thickBot="1">
      <c r="A132" s="186" t="s">
        <v>21</v>
      </c>
      <c r="B132" s="426"/>
      <c r="C132" s="427">
        <v>23200</v>
      </c>
      <c r="D132" s="517">
        <v>23200</v>
      </c>
      <c r="E132" s="550">
        <f aca="true" t="shared" si="7" ref="E132:E148">SUM(F132:G132)</f>
        <v>102500</v>
      </c>
      <c r="F132" s="551">
        <f>SUM(F133:F142)</f>
        <v>102500</v>
      </c>
      <c r="G132" s="552">
        <f>SUM(G133:G141)</f>
        <v>0</v>
      </c>
      <c r="K132" s="307"/>
      <c r="L132" s="307"/>
      <c r="M132" s="308"/>
      <c r="N132" s="308"/>
      <c r="O132" s="309"/>
      <c r="P132" s="310"/>
      <c r="Q132" s="310"/>
    </row>
    <row r="133" spans="1:7" ht="25.5">
      <c r="A133" s="188" t="s">
        <v>22</v>
      </c>
      <c r="B133" s="553" t="s">
        <v>142</v>
      </c>
      <c r="C133" s="554">
        <v>1500</v>
      </c>
      <c r="D133" s="555">
        <v>1500</v>
      </c>
      <c r="E133" s="556">
        <f t="shared" si="7"/>
        <v>55000</v>
      </c>
      <c r="F133" s="488">
        <f>75000-20000</f>
        <v>55000</v>
      </c>
      <c r="G133" s="393">
        <v>0</v>
      </c>
    </row>
    <row r="134" spans="1:8" ht="17.25" customHeight="1" thickBot="1">
      <c r="A134" s="236"/>
      <c r="B134" s="557" t="s">
        <v>155</v>
      </c>
      <c r="C134" s="558"/>
      <c r="D134" s="559"/>
      <c r="E134" s="556">
        <f t="shared" si="7"/>
        <v>35000</v>
      </c>
      <c r="F134" s="488">
        <v>35000</v>
      </c>
      <c r="G134" s="393">
        <v>0</v>
      </c>
      <c r="H134" s="313" t="s">
        <v>133</v>
      </c>
    </row>
    <row r="135" spans="1:7" ht="15.75" hidden="1" thickBot="1">
      <c r="A135" s="320"/>
      <c r="B135" s="416" t="s">
        <v>88</v>
      </c>
      <c r="C135" s="560"/>
      <c r="D135" s="561"/>
      <c r="E135" s="562">
        <f t="shared" si="7"/>
        <v>0</v>
      </c>
      <c r="F135" s="435">
        <v>0</v>
      </c>
      <c r="G135" s="382">
        <v>0</v>
      </c>
    </row>
    <row r="136" spans="1:8" ht="17.25" customHeight="1" thickBot="1">
      <c r="A136" s="320"/>
      <c r="B136" s="563" t="s">
        <v>158</v>
      </c>
      <c r="C136" s="560">
        <v>1500</v>
      </c>
      <c r="D136" s="561">
        <v>1500</v>
      </c>
      <c r="E136" s="556">
        <f t="shared" si="7"/>
        <v>7500</v>
      </c>
      <c r="F136" s="540">
        <v>7500</v>
      </c>
      <c r="G136" s="382">
        <v>0</v>
      </c>
      <c r="H136" s="313" t="s">
        <v>159</v>
      </c>
    </row>
    <row r="137" spans="1:7" ht="22.5" customHeight="1" hidden="1">
      <c r="A137" s="320"/>
      <c r="B137" s="564" t="s">
        <v>97</v>
      </c>
      <c r="C137" s="560"/>
      <c r="D137" s="561"/>
      <c r="E137" s="556">
        <f t="shared" si="7"/>
        <v>0</v>
      </c>
      <c r="F137" s="540">
        <v>0</v>
      </c>
      <c r="G137" s="382">
        <v>0</v>
      </c>
    </row>
    <row r="138" spans="1:7" ht="17.25" customHeight="1" hidden="1">
      <c r="A138" s="320"/>
      <c r="B138" s="564" t="s">
        <v>93</v>
      </c>
      <c r="C138" s="560"/>
      <c r="D138" s="561"/>
      <c r="E138" s="556">
        <f t="shared" si="7"/>
        <v>0</v>
      </c>
      <c r="F138" s="540">
        <v>0</v>
      </c>
      <c r="G138" s="382">
        <v>0</v>
      </c>
    </row>
    <row r="139" spans="1:7" ht="17.25" customHeight="1" hidden="1">
      <c r="A139" s="320"/>
      <c r="B139" s="565" t="s">
        <v>86</v>
      </c>
      <c r="C139" s="560"/>
      <c r="D139" s="561"/>
      <c r="E139" s="562">
        <f t="shared" si="7"/>
        <v>0</v>
      </c>
      <c r="F139" s="435">
        <v>0</v>
      </c>
      <c r="G139" s="382">
        <v>0</v>
      </c>
    </row>
    <row r="140" spans="1:7" ht="18.75" customHeight="1" hidden="1">
      <c r="A140" s="320"/>
      <c r="B140" s="416" t="s">
        <v>113</v>
      </c>
      <c r="C140" s="560"/>
      <c r="D140" s="561"/>
      <c r="E140" s="562">
        <f t="shared" si="7"/>
        <v>0</v>
      </c>
      <c r="F140" s="435">
        <v>0</v>
      </c>
      <c r="G140" s="382">
        <v>0</v>
      </c>
    </row>
    <row r="141" spans="1:10" ht="15" customHeight="1" hidden="1">
      <c r="A141" s="328"/>
      <c r="B141" s="528" t="s">
        <v>85</v>
      </c>
      <c r="C141" s="566"/>
      <c r="D141" s="567"/>
      <c r="E141" s="568">
        <f t="shared" si="7"/>
        <v>0</v>
      </c>
      <c r="F141" s="569">
        <v>0</v>
      </c>
      <c r="G141" s="387">
        <v>0</v>
      </c>
      <c r="H141" s="335"/>
      <c r="J141" s="306"/>
    </row>
    <row r="142" spans="1:10" ht="30" customHeight="1" thickBot="1">
      <c r="A142" s="240" t="s">
        <v>59</v>
      </c>
      <c r="B142" s="570" t="s">
        <v>156</v>
      </c>
      <c r="C142" s="571">
        <v>1500</v>
      </c>
      <c r="D142" s="572">
        <v>1500</v>
      </c>
      <c r="E142" s="573">
        <f t="shared" si="7"/>
        <v>5000</v>
      </c>
      <c r="F142" s="448">
        <v>5000</v>
      </c>
      <c r="G142" s="495">
        <v>0</v>
      </c>
      <c r="H142" s="335" t="s">
        <v>157</v>
      </c>
      <c r="J142" s="306"/>
    </row>
    <row r="143" spans="1:7" ht="18" customHeight="1" thickBot="1">
      <c r="A143" s="241" t="s">
        <v>23</v>
      </c>
      <c r="B143" s="426"/>
      <c r="C143" s="427">
        <v>23200</v>
      </c>
      <c r="D143" s="517">
        <v>23200</v>
      </c>
      <c r="E143" s="472">
        <f t="shared" si="7"/>
        <v>181000</v>
      </c>
      <c r="F143" s="427">
        <f>SUM(F144:F158)</f>
        <v>151000</v>
      </c>
      <c r="G143" s="552">
        <f>SUM(G144:G158)</f>
        <v>30000</v>
      </c>
    </row>
    <row r="144" spans="1:10" ht="15.75" thickBot="1">
      <c r="A144" s="208" t="s">
        <v>24</v>
      </c>
      <c r="B144" s="574" t="s">
        <v>147</v>
      </c>
      <c r="C144" s="558">
        <v>1500</v>
      </c>
      <c r="D144" s="559">
        <v>1500</v>
      </c>
      <c r="E144" s="540">
        <f t="shared" si="7"/>
        <v>33500</v>
      </c>
      <c r="F144" s="488">
        <v>33500</v>
      </c>
      <c r="G144" s="393">
        <v>0</v>
      </c>
      <c r="H144" s="313" t="s">
        <v>148</v>
      </c>
      <c r="J144" s="302"/>
    </row>
    <row r="145" spans="1:10" ht="15.75" thickBot="1">
      <c r="A145" s="236"/>
      <c r="B145" s="575" t="s">
        <v>103</v>
      </c>
      <c r="C145" s="560"/>
      <c r="D145" s="561"/>
      <c r="E145" s="540">
        <f t="shared" si="7"/>
        <v>14000</v>
      </c>
      <c r="F145" s="435">
        <v>14000</v>
      </c>
      <c r="G145" s="382">
        <v>0</v>
      </c>
      <c r="H145" s="313" t="s">
        <v>151</v>
      </c>
      <c r="J145" s="302"/>
    </row>
    <row r="146" spans="1:10" ht="15.75" thickBot="1">
      <c r="A146" s="320"/>
      <c r="B146" s="395" t="s">
        <v>67</v>
      </c>
      <c r="C146" s="560"/>
      <c r="D146" s="561"/>
      <c r="E146" s="540">
        <f t="shared" si="7"/>
        <v>15000</v>
      </c>
      <c r="F146" s="435">
        <v>15000</v>
      </c>
      <c r="G146" s="382">
        <v>0</v>
      </c>
      <c r="H146" s="356" t="s">
        <v>143</v>
      </c>
      <c r="J146" s="302"/>
    </row>
    <row r="147" spans="1:10" ht="15.75" thickBot="1">
      <c r="A147" s="320"/>
      <c r="B147" s="413" t="s">
        <v>146</v>
      </c>
      <c r="C147" s="560"/>
      <c r="D147" s="561"/>
      <c r="E147" s="540">
        <f t="shared" si="7"/>
        <v>5000</v>
      </c>
      <c r="F147" s="435">
        <v>5000</v>
      </c>
      <c r="G147" s="382">
        <v>0</v>
      </c>
      <c r="H147" s="356" t="s">
        <v>157</v>
      </c>
      <c r="J147" s="302"/>
    </row>
    <row r="148" spans="1:10" ht="30.75" thickBot="1">
      <c r="A148" s="320"/>
      <c r="B148" s="413" t="s">
        <v>95</v>
      </c>
      <c r="C148" s="560"/>
      <c r="D148" s="561"/>
      <c r="E148" s="401">
        <f t="shared" si="7"/>
        <v>90000</v>
      </c>
      <c r="F148" s="435">
        <v>60000</v>
      </c>
      <c r="G148" s="382">
        <f>0+30000</f>
        <v>30000</v>
      </c>
      <c r="H148" s="356" t="s">
        <v>150</v>
      </c>
      <c r="J148" s="302"/>
    </row>
    <row r="149" spans="1:10" ht="12.75" hidden="1">
      <c r="A149" s="707" t="s">
        <v>6</v>
      </c>
      <c r="B149" s="785" t="s">
        <v>7</v>
      </c>
      <c r="C149" s="370" t="s">
        <v>18</v>
      </c>
      <c r="D149" s="371" t="s">
        <v>8</v>
      </c>
      <c r="E149" s="842" t="s">
        <v>96</v>
      </c>
      <c r="F149" s="789" t="s">
        <v>19</v>
      </c>
      <c r="G149" s="790"/>
      <c r="H149" s="356"/>
      <c r="J149" s="302"/>
    </row>
    <row r="150" spans="1:10" ht="12.75" hidden="1">
      <c r="A150" s="708"/>
      <c r="B150" s="786"/>
      <c r="C150" s="372" t="s">
        <v>0</v>
      </c>
      <c r="D150" s="373" t="s">
        <v>14</v>
      </c>
      <c r="E150" s="843"/>
      <c r="F150" s="791" t="s">
        <v>54</v>
      </c>
      <c r="G150" s="793" t="s">
        <v>55</v>
      </c>
      <c r="H150" s="356"/>
      <c r="J150" s="302"/>
    </row>
    <row r="151" spans="1:10" ht="12.75" hidden="1">
      <c r="A151" s="708"/>
      <c r="B151" s="786"/>
      <c r="C151" s="372"/>
      <c r="D151" s="373" t="s">
        <v>15</v>
      </c>
      <c r="E151" s="844"/>
      <c r="F151" s="845"/>
      <c r="G151" s="846"/>
      <c r="H151" s="356"/>
      <c r="J151" s="302"/>
    </row>
    <row r="152" spans="1:10" ht="15.75">
      <c r="A152" s="280"/>
      <c r="B152" s="576" t="s">
        <v>58</v>
      </c>
      <c r="C152" s="538"/>
      <c r="D152" s="539"/>
      <c r="E152" s="540">
        <f aca="true" t="shared" si="8" ref="E152:E158">SUM(F152:G152)</f>
        <v>12000</v>
      </c>
      <c r="F152" s="546">
        <v>12000</v>
      </c>
      <c r="G152" s="393">
        <v>0</v>
      </c>
      <c r="H152" s="356" t="s">
        <v>152</v>
      </c>
      <c r="J152" s="302"/>
    </row>
    <row r="153" spans="1:10" ht="15.75" hidden="1" thickBot="1">
      <c r="A153" s="320"/>
      <c r="B153" s="577" t="s">
        <v>58</v>
      </c>
      <c r="C153" s="560"/>
      <c r="D153" s="561"/>
      <c r="E153" s="401">
        <f t="shared" si="8"/>
        <v>0</v>
      </c>
      <c r="F153" s="435">
        <v>0</v>
      </c>
      <c r="G153" s="382">
        <v>0</v>
      </c>
      <c r="H153" s="356" t="s">
        <v>69</v>
      </c>
      <c r="J153" s="302"/>
    </row>
    <row r="154" spans="1:10" ht="18.75" customHeight="1" thickBot="1">
      <c r="A154" s="320"/>
      <c r="B154" s="575" t="s">
        <v>153</v>
      </c>
      <c r="C154" s="560"/>
      <c r="D154" s="561"/>
      <c r="E154" s="401">
        <f t="shared" si="8"/>
        <v>5500</v>
      </c>
      <c r="F154" s="435">
        <f>5000+500</f>
        <v>5500</v>
      </c>
      <c r="G154" s="382">
        <v>0</v>
      </c>
      <c r="H154" s="356" t="s">
        <v>154</v>
      </c>
      <c r="J154" s="302"/>
    </row>
    <row r="155" spans="1:10" ht="15.75" hidden="1" thickBot="1">
      <c r="A155" s="320"/>
      <c r="B155" s="577" t="s">
        <v>94</v>
      </c>
      <c r="C155" s="560"/>
      <c r="D155" s="561"/>
      <c r="E155" s="401">
        <f t="shared" si="8"/>
        <v>0</v>
      </c>
      <c r="F155" s="435">
        <v>0</v>
      </c>
      <c r="G155" s="382">
        <v>0</v>
      </c>
      <c r="J155" s="302"/>
    </row>
    <row r="156" spans="1:10" ht="31.5" customHeight="1" hidden="1">
      <c r="A156" s="320"/>
      <c r="B156" s="577" t="s">
        <v>102</v>
      </c>
      <c r="C156" s="560"/>
      <c r="D156" s="561"/>
      <c r="E156" s="401">
        <f t="shared" si="8"/>
        <v>0</v>
      </c>
      <c r="F156" s="435">
        <v>0</v>
      </c>
      <c r="G156" s="382">
        <v>0</v>
      </c>
      <c r="J156" s="302"/>
    </row>
    <row r="157" spans="1:10" ht="18" customHeight="1" thickBot="1">
      <c r="A157" s="328"/>
      <c r="B157" s="578" t="s">
        <v>73</v>
      </c>
      <c r="C157" s="560"/>
      <c r="D157" s="561"/>
      <c r="E157" s="449">
        <f t="shared" si="8"/>
        <v>6000</v>
      </c>
      <c r="F157" s="448">
        <v>6000</v>
      </c>
      <c r="G157" s="495">
        <v>0</v>
      </c>
      <c r="H157" s="313" t="s">
        <v>161</v>
      </c>
      <c r="J157" s="302"/>
    </row>
    <row r="158" spans="1:9" s="302" customFormat="1" ht="13.5" hidden="1" thickBot="1">
      <c r="A158" s="328"/>
      <c r="B158" s="579" t="s">
        <v>28</v>
      </c>
      <c r="C158" s="580">
        <v>1500</v>
      </c>
      <c r="D158" s="581">
        <v>1500</v>
      </c>
      <c r="E158" s="582">
        <f t="shared" si="8"/>
        <v>0</v>
      </c>
      <c r="F158" s="583">
        <v>0</v>
      </c>
      <c r="G158" s="584">
        <v>0</v>
      </c>
      <c r="H158" s="312"/>
      <c r="I158" s="312"/>
    </row>
    <row r="159" spans="1:9" s="302" customFormat="1" ht="5.25" customHeight="1">
      <c r="A159" s="311"/>
      <c r="B159" s="451"/>
      <c r="C159" s="365"/>
      <c r="D159" s="366"/>
      <c r="E159" s="366"/>
      <c r="F159" s="365"/>
      <c r="G159" s="365"/>
      <c r="H159" s="312"/>
      <c r="I159" s="312"/>
    </row>
    <row r="160" spans="1:9" s="302" customFormat="1" ht="16.5" thickBot="1">
      <c r="A160" s="746" t="s">
        <v>17</v>
      </c>
      <c r="B160" s="746"/>
      <c r="C160" s="585"/>
      <c r="D160" s="508"/>
      <c r="E160" s="363">
        <f>SUM(E112+E97+E90+E81+E49+E7+E132+E143+E87+E103+E110+E78)</f>
        <v>5648877</v>
      </c>
      <c r="F160" s="363">
        <f>SUM(F112+F97+F90+F81+F49+F7+F132+F143+F87+F103+F110+F78)</f>
        <v>4818877</v>
      </c>
      <c r="G160" s="363">
        <f>SUM(G112+G97+G90+G81+G49+G7+G132+G143+G87+G103)</f>
        <v>830000</v>
      </c>
      <c r="H160" s="312"/>
      <c r="I160" s="312"/>
    </row>
    <row r="161" spans="3:9" s="303" customFormat="1" ht="13.5" thickTop="1">
      <c r="C161" s="365"/>
      <c r="D161" s="366" t="s">
        <v>16</v>
      </c>
      <c r="E161" s="366"/>
      <c r="F161" s="365"/>
      <c r="G161" s="365"/>
      <c r="H161" s="313"/>
      <c r="I161" s="313"/>
    </row>
    <row r="162" spans="3:9" s="303" customFormat="1" ht="15">
      <c r="C162" s="586"/>
      <c r="D162" s="366"/>
      <c r="E162" s="366"/>
      <c r="F162" s="365" t="s">
        <v>188</v>
      </c>
      <c r="G162" s="365"/>
      <c r="H162" s="313"/>
      <c r="I162" s="313"/>
    </row>
    <row r="163" spans="3:9" s="303" customFormat="1" ht="12.75">
      <c r="C163" s="365"/>
      <c r="D163" s="366"/>
      <c r="E163" s="365"/>
      <c r="F163" s="365" t="s">
        <v>189</v>
      </c>
      <c r="G163" s="365">
        <f>G77</f>
        <v>800000</v>
      </c>
      <c r="H163" s="313"/>
      <c r="I163" s="313"/>
    </row>
    <row r="164" spans="3:9" s="303" customFormat="1" ht="12.75">
      <c r="C164" s="365"/>
      <c r="D164" s="366"/>
      <c r="E164" s="365"/>
      <c r="F164" s="365" t="s">
        <v>187</v>
      </c>
      <c r="G164" s="365">
        <f>G148</f>
        <v>30000</v>
      </c>
      <c r="H164" s="313"/>
      <c r="I164" s="313"/>
    </row>
    <row r="166" spans="3:10" s="303" customFormat="1" ht="12.75">
      <c r="C166" s="365"/>
      <c r="D166" s="366"/>
      <c r="E166" s="366"/>
      <c r="F166" s="365"/>
      <c r="G166" s="365"/>
      <c r="H166" s="313"/>
      <c r="I166" s="313"/>
      <c r="J166" s="303" t="s">
        <v>39</v>
      </c>
    </row>
    <row r="167" spans="3:10" s="303" customFormat="1" ht="12.75">
      <c r="C167" s="365"/>
      <c r="D167" s="366"/>
      <c r="E167" s="366"/>
      <c r="F167" s="365"/>
      <c r="G167" s="587">
        <f>SUM(F160:G160)</f>
        <v>5648877</v>
      </c>
      <c r="H167" s="313"/>
      <c r="I167" s="313"/>
      <c r="J167" s="302">
        <f>SUM(G167)-E160</f>
        <v>0</v>
      </c>
    </row>
  </sheetData>
  <sheetProtection/>
  <mergeCells count="50">
    <mergeCell ref="E2:G2"/>
    <mergeCell ref="A4:A6"/>
    <mergeCell ref="B4:B6"/>
    <mergeCell ref="E4:E6"/>
    <mergeCell ref="F4:G4"/>
    <mergeCell ref="F5:F6"/>
    <mergeCell ref="G5:G6"/>
    <mergeCell ref="B10:B13"/>
    <mergeCell ref="E10:E13"/>
    <mergeCell ref="F10:F13"/>
    <mergeCell ref="B18:B19"/>
    <mergeCell ref="E18:E19"/>
    <mergeCell ref="F18:F19"/>
    <mergeCell ref="A34:A36"/>
    <mergeCell ref="B34:B36"/>
    <mergeCell ref="E34:E36"/>
    <mergeCell ref="F34:G34"/>
    <mergeCell ref="F35:F36"/>
    <mergeCell ref="G35:G36"/>
    <mergeCell ref="A67:A69"/>
    <mergeCell ref="B67:B69"/>
    <mergeCell ref="E67:E69"/>
    <mergeCell ref="F67:G67"/>
    <mergeCell ref="F68:F69"/>
    <mergeCell ref="G68:G69"/>
    <mergeCell ref="A93:A95"/>
    <mergeCell ref="B93:B95"/>
    <mergeCell ref="E93:E95"/>
    <mergeCell ref="F93:G93"/>
    <mergeCell ref="F94:F95"/>
    <mergeCell ref="G94:G95"/>
    <mergeCell ref="A115:A117"/>
    <mergeCell ref="B115:B117"/>
    <mergeCell ref="E115:E117"/>
    <mergeCell ref="F115:G115"/>
    <mergeCell ref="F116:F117"/>
    <mergeCell ref="G116:G117"/>
    <mergeCell ref="A129:A131"/>
    <mergeCell ref="B129:B131"/>
    <mergeCell ref="E129:E131"/>
    <mergeCell ref="F129:G129"/>
    <mergeCell ref="F130:F131"/>
    <mergeCell ref="G130:G131"/>
    <mergeCell ref="A160:B160"/>
    <mergeCell ref="A149:A151"/>
    <mergeCell ref="B149:B151"/>
    <mergeCell ref="E149:E151"/>
    <mergeCell ref="F149:G149"/>
    <mergeCell ref="F150:F151"/>
    <mergeCell ref="G150:G151"/>
  </mergeCells>
  <conditionalFormatting sqref="I1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{502c456e-caa6-40d1-b411-6020b90882af}</x14:id>
        </ext>
      </extLst>
    </cfRule>
  </conditionalFormatting>
  <conditionalFormatting sqref="A7:A4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{b2d49d10-9039-4643-b402-93679f92c95f}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71" r:id="rId1"/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2c456e-caa6-40d1-b411-6020b90882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</xm:sqref>
        </x14:conditionalFormatting>
        <x14:conditionalFormatting xmlns:xm="http://schemas.microsoft.com/office/excel/2006/main">
          <x14:cfRule type="dataBar" id="{b2d49d10-9039-4643-b402-93679f92c9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100">
      <selection activeCell="B167" sqref="B167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G1" s="367" t="s">
        <v>202</v>
      </c>
    </row>
    <row r="2" spans="1:7" ht="18">
      <c r="A2" s="284"/>
      <c r="B2" s="364" t="s">
        <v>167</v>
      </c>
      <c r="E2" s="783" t="s">
        <v>201</v>
      </c>
      <c r="F2" s="784"/>
      <c r="G2" s="784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SUM(E8:E48)</f>
        <v>602610</v>
      </c>
      <c r="F7" s="377">
        <f>SUM(F8:F48)</f>
        <v>602610</v>
      </c>
      <c r="G7" s="377">
        <f>SUM(G8:G47)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305" customFormat="1" ht="20.25" customHeight="1">
      <c r="A15" s="320"/>
      <c r="B15" s="383" t="s">
        <v>126</v>
      </c>
      <c r="C15" s="379"/>
      <c r="D15" s="384"/>
      <c r="E15" s="381">
        <f>SUM(F15:G15)</f>
        <v>65000</v>
      </c>
      <c r="F15" s="382">
        <v>65000</v>
      </c>
      <c r="G15" s="393">
        <v>0</v>
      </c>
      <c r="H15" s="207"/>
      <c r="I15" s="200"/>
    </row>
    <row r="16" spans="1:9" s="305" customFormat="1" ht="20.25" customHeight="1">
      <c r="A16" s="320"/>
      <c r="B16" s="383" t="s">
        <v>127</v>
      </c>
      <c r="C16" s="379"/>
      <c r="D16" s="380"/>
      <c r="E16" s="381">
        <f>SUM(F16:G16)</f>
        <v>334000</v>
      </c>
      <c r="F16" s="382">
        <f>100000-1700-1700+300000-20000-40000-10000+7400</f>
        <v>334000</v>
      </c>
      <c r="G16" s="382">
        <f>300000-300000</f>
        <v>0</v>
      </c>
      <c r="H16" s="207"/>
      <c r="I16" s="200"/>
    </row>
    <row r="17" spans="1:9" s="305" customFormat="1" ht="16.5" customHeight="1" hidden="1">
      <c r="A17" s="320"/>
      <c r="B17" s="378" t="s">
        <v>79</v>
      </c>
      <c r="C17" s="379"/>
      <c r="D17" s="384"/>
      <c r="E17" s="381">
        <f>SUM(F17:G17)</f>
        <v>0</v>
      </c>
      <c r="F17" s="382">
        <v>0</v>
      </c>
      <c r="G17" s="382">
        <v>0</v>
      </c>
      <c r="H17" s="207"/>
      <c r="I17" s="200"/>
    </row>
    <row r="18" spans="1:9" s="305" customFormat="1" ht="11.25" customHeight="1" hidden="1">
      <c r="A18" s="320"/>
      <c r="B18" s="847" t="s">
        <v>80</v>
      </c>
      <c r="C18" s="379"/>
      <c r="D18" s="384"/>
      <c r="E18" s="849">
        <f>SUM(F18:G18)</f>
        <v>0</v>
      </c>
      <c r="F18" s="851">
        <v>0</v>
      </c>
      <c r="G18" s="387">
        <v>0</v>
      </c>
      <c r="H18" s="207"/>
      <c r="I18" s="200"/>
    </row>
    <row r="19" spans="1:9" s="305" customFormat="1" ht="10.5" customHeight="1" hidden="1">
      <c r="A19" s="320"/>
      <c r="B19" s="848"/>
      <c r="C19" s="379"/>
      <c r="D19" s="384"/>
      <c r="E19" s="850"/>
      <c r="F19" s="852"/>
      <c r="G19" s="392"/>
      <c r="H19" s="207"/>
      <c r="I19" s="200"/>
    </row>
    <row r="20" spans="1:9" s="305" customFormat="1" ht="16.5" customHeight="1" hidden="1">
      <c r="A20" s="320"/>
      <c r="B20" s="394" t="s">
        <v>74</v>
      </c>
      <c r="C20" s="379"/>
      <c r="D20" s="384"/>
      <c r="E20" s="381">
        <f aca="true" t="shared" si="0" ref="E20:E30">SUM(F20:G20)</f>
        <v>0</v>
      </c>
      <c r="F20" s="382">
        <v>0</v>
      </c>
      <c r="G20" s="393">
        <v>0</v>
      </c>
      <c r="H20" s="207"/>
      <c r="I20" s="200"/>
    </row>
    <row r="21" spans="1:9" s="305" customFormat="1" ht="14.25" customHeight="1" hidden="1">
      <c r="A21" s="323"/>
      <c r="B21" s="604" t="s">
        <v>75</v>
      </c>
      <c r="C21" s="379"/>
      <c r="D21" s="384"/>
      <c r="E21" s="381">
        <f t="shared" si="0"/>
        <v>0</v>
      </c>
      <c r="F21" s="382">
        <v>0</v>
      </c>
      <c r="G21" s="382">
        <v>0</v>
      </c>
      <c r="H21" s="207"/>
      <c r="I21" s="200"/>
    </row>
    <row r="22" spans="1:9" s="305" customFormat="1" ht="16.5" customHeight="1" hidden="1">
      <c r="A22" s="323"/>
      <c r="B22" s="605" t="s">
        <v>81</v>
      </c>
      <c r="C22" s="379">
        <v>30000</v>
      </c>
      <c r="D22" s="380">
        <v>30000</v>
      </c>
      <c r="E22" s="381">
        <f t="shared" si="0"/>
        <v>0</v>
      </c>
      <c r="F22" s="382">
        <v>0</v>
      </c>
      <c r="G22" s="382">
        <v>0</v>
      </c>
      <c r="H22" s="207"/>
      <c r="I22" s="200"/>
    </row>
    <row r="23" spans="1:9" s="305" customFormat="1" ht="19.5" customHeight="1" hidden="1">
      <c r="A23" s="323"/>
      <c r="B23" s="395" t="s">
        <v>104</v>
      </c>
      <c r="C23" s="379">
        <v>83000</v>
      </c>
      <c r="D23" s="380">
        <v>83000</v>
      </c>
      <c r="E23" s="381">
        <f t="shared" si="0"/>
        <v>0</v>
      </c>
      <c r="F23" s="382">
        <v>0</v>
      </c>
      <c r="G23" s="382">
        <v>0</v>
      </c>
      <c r="H23" s="207"/>
      <c r="I23" s="200"/>
    </row>
    <row r="24" spans="1:9" s="305" customFormat="1" ht="16.5" customHeight="1" hidden="1">
      <c r="A24" s="323"/>
      <c r="B24" s="395" t="s">
        <v>76</v>
      </c>
      <c r="C24" s="379"/>
      <c r="D24" s="380"/>
      <c r="E24" s="381">
        <f t="shared" si="0"/>
        <v>0</v>
      </c>
      <c r="F24" s="379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606" t="s">
        <v>77</v>
      </c>
      <c r="C25" s="396"/>
      <c r="D25" s="607"/>
      <c r="E25" s="381">
        <f t="shared" si="0"/>
        <v>0</v>
      </c>
      <c r="F25" s="396">
        <v>0</v>
      </c>
      <c r="G25" s="387">
        <v>0</v>
      </c>
      <c r="H25" s="207"/>
      <c r="I25" s="200"/>
    </row>
    <row r="26" spans="1:9" s="305" customFormat="1" ht="15" hidden="1">
      <c r="A26" s="323"/>
      <c r="B26" s="395" t="s">
        <v>82</v>
      </c>
      <c r="C26" s="379"/>
      <c r="D26" s="380"/>
      <c r="E26" s="381">
        <f t="shared" si="0"/>
        <v>0</v>
      </c>
      <c r="F26" s="379">
        <v>0</v>
      </c>
      <c r="G26" s="382">
        <v>0</v>
      </c>
      <c r="H26" s="207"/>
      <c r="I26" s="200"/>
    </row>
    <row r="27" spans="1:9" s="305" customFormat="1" ht="27.75" customHeight="1" hidden="1">
      <c r="A27" s="323"/>
      <c r="B27" s="395" t="s">
        <v>50</v>
      </c>
      <c r="C27" s="397">
        <v>1000</v>
      </c>
      <c r="D27" s="398">
        <v>1000</v>
      </c>
      <c r="E27" s="399">
        <f t="shared" si="0"/>
        <v>0</v>
      </c>
      <c r="F27" s="397">
        <v>0</v>
      </c>
      <c r="G27" s="393"/>
      <c r="H27" s="207"/>
      <c r="I27" s="200"/>
    </row>
    <row r="28" spans="1:9" s="305" customFormat="1" ht="16.5" customHeight="1" hidden="1">
      <c r="A28" s="323"/>
      <c r="B28" s="395" t="s">
        <v>78</v>
      </c>
      <c r="C28" s="379"/>
      <c r="D28" s="380"/>
      <c r="E28" s="381">
        <f t="shared" si="0"/>
        <v>0</v>
      </c>
      <c r="F28" s="379">
        <v>0</v>
      </c>
      <c r="G28" s="382">
        <v>0</v>
      </c>
      <c r="H28" s="207"/>
      <c r="I28" s="200"/>
    </row>
    <row r="29" spans="1:7" ht="15.75" customHeight="1" hidden="1">
      <c r="A29" s="323"/>
      <c r="B29" s="608" t="s">
        <v>45</v>
      </c>
      <c r="C29" s="396"/>
      <c r="D29" s="607"/>
      <c r="E29" s="400">
        <f t="shared" si="0"/>
        <v>0</v>
      </c>
      <c r="F29" s="396">
        <v>0</v>
      </c>
      <c r="G29" s="387">
        <v>0</v>
      </c>
    </row>
    <row r="30" spans="1:7" ht="20.25" customHeight="1">
      <c r="A30" s="323"/>
      <c r="B30" s="609" t="s">
        <v>57</v>
      </c>
      <c r="C30" s="610"/>
      <c r="D30" s="610"/>
      <c r="E30" s="401">
        <f t="shared" si="0"/>
        <v>41054</v>
      </c>
      <c r="F30" s="610">
        <f>50000-1546-7400</f>
        <v>41054</v>
      </c>
      <c r="G30" s="382">
        <v>0</v>
      </c>
    </row>
    <row r="31" spans="1:7" ht="15" hidden="1">
      <c r="A31" s="323"/>
      <c r="B31" s="402"/>
      <c r="C31" s="403"/>
      <c r="D31" s="403"/>
      <c r="E31" s="404"/>
      <c r="F31" s="403"/>
      <c r="G31" s="405"/>
    </row>
    <row r="32" spans="1:7" ht="18" customHeight="1" hidden="1">
      <c r="A32" s="323"/>
      <c r="B32" s="402"/>
      <c r="C32" s="403"/>
      <c r="D32" s="403"/>
      <c r="E32" s="404"/>
      <c r="F32" s="403"/>
      <c r="G32" s="405"/>
    </row>
    <row r="33" spans="1:7" s="313" customFormat="1" ht="15" hidden="1">
      <c r="A33" s="323"/>
      <c r="B33" s="402"/>
      <c r="C33" s="403"/>
      <c r="D33" s="403"/>
      <c r="E33" s="404"/>
      <c r="F33" s="403"/>
      <c r="G33" s="405"/>
    </row>
    <row r="34" spans="1:7" s="313" customFormat="1" ht="12.75" customHeight="1" hidden="1">
      <c r="A34" s="747" t="s">
        <v>6</v>
      </c>
      <c r="B34" s="810" t="s">
        <v>7</v>
      </c>
      <c r="C34" s="406" t="s">
        <v>18</v>
      </c>
      <c r="D34" s="407" t="s">
        <v>8</v>
      </c>
      <c r="E34" s="813" t="s">
        <v>5</v>
      </c>
      <c r="F34" s="816" t="s">
        <v>19</v>
      </c>
      <c r="G34" s="817"/>
    </row>
    <row r="35" spans="1:7" s="313" customFormat="1" ht="15.75" hidden="1">
      <c r="A35" s="777"/>
      <c r="B35" s="811"/>
      <c r="C35" s="408" t="s">
        <v>0</v>
      </c>
      <c r="D35" s="409" t="s">
        <v>14</v>
      </c>
      <c r="E35" s="814"/>
      <c r="F35" s="818" t="s">
        <v>13</v>
      </c>
      <c r="G35" s="820" t="s">
        <v>20</v>
      </c>
    </row>
    <row r="36" spans="1:7" s="313" customFormat="1" ht="16.5" hidden="1" thickBot="1">
      <c r="A36" s="777"/>
      <c r="B36" s="812"/>
      <c r="C36" s="410"/>
      <c r="D36" s="411" t="s">
        <v>15</v>
      </c>
      <c r="E36" s="815"/>
      <c r="F36" s="819"/>
      <c r="G36" s="821"/>
    </row>
    <row r="37" spans="1:7" s="313" customFormat="1" ht="15">
      <c r="A37" s="325"/>
      <c r="B37" s="412" t="s">
        <v>128</v>
      </c>
      <c r="C37" s="379"/>
      <c r="D37" s="380"/>
      <c r="E37" s="381">
        <f aca="true" t="shared" si="1" ref="E37:E44">SUM(F37:G37)</f>
        <v>66900</v>
      </c>
      <c r="F37" s="379">
        <v>66900</v>
      </c>
      <c r="G37" s="382">
        <v>0</v>
      </c>
    </row>
    <row r="38" spans="1:7" s="313" customFormat="1" ht="19.5" customHeight="1">
      <c r="A38" s="323"/>
      <c r="B38" s="412" t="s">
        <v>175</v>
      </c>
      <c r="C38" s="379"/>
      <c r="D38" s="380"/>
      <c r="E38" s="381">
        <f t="shared" si="1"/>
        <v>14056</v>
      </c>
      <c r="F38" s="379">
        <f>12510+1546</f>
        <v>14056</v>
      </c>
      <c r="G38" s="382">
        <v>0</v>
      </c>
    </row>
    <row r="39" spans="1:7" s="313" customFormat="1" ht="15" customHeight="1" hidden="1">
      <c r="A39" s="323"/>
      <c r="B39" s="412" t="s">
        <v>83</v>
      </c>
      <c r="C39" s="379"/>
      <c r="D39" s="380"/>
      <c r="E39" s="381">
        <f t="shared" si="1"/>
        <v>0</v>
      </c>
      <c r="F39" s="379">
        <v>0</v>
      </c>
      <c r="G39" s="382">
        <v>0</v>
      </c>
    </row>
    <row r="40" spans="1:7" s="313" customFormat="1" ht="15" customHeight="1" hidden="1">
      <c r="A40" s="323"/>
      <c r="B40" s="413" t="s">
        <v>84</v>
      </c>
      <c r="C40" s="379"/>
      <c r="D40" s="380"/>
      <c r="E40" s="381">
        <f t="shared" si="1"/>
        <v>0</v>
      </c>
      <c r="F40" s="379">
        <v>0</v>
      </c>
      <c r="G40" s="382"/>
    </row>
    <row r="41" spans="1:7" s="313" customFormat="1" ht="15.75" customHeight="1" hidden="1">
      <c r="A41" s="326"/>
      <c r="B41" s="414" t="s">
        <v>98</v>
      </c>
      <c r="C41" s="379">
        <v>44900</v>
      </c>
      <c r="D41" s="380">
        <v>44900</v>
      </c>
      <c r="E41" s="381">
        <f t="shared" si="1"/>
        <v>0</v>
      </c>
      <c r="F41" s="379">
        <v>0</v>
      </c>
      <c r="G41" s="382">
        <v>0</v>
      </c>
    </row>
    <row r="42" spans="1:7" s="313" customFormat="1" ht="13.5" customHeight="1" hidden="1">
      <c r="A42" s="320"/>
      <c r="B42" s="415" t="s">
        <v>1</v>
      </c>
      <c r="C42" s="379"/>
      <c r="D42" s="380"/>
      <c r="E42" s="381">
        <f t="shared" si="1"/>
        <v>0</v>
      </c>
      <c r="F42" s="379">
        <v>0</v>
      </c>
      <c r="G42" s="382">
        <v>0</v>
      </c>
    </row>
    <row r="43" spans="1:7" s="313" customFormat="1" ht="13.5" customHeight="1" hidden="1">
      <c r="A43" s="327"/>
      <c r="B43" s="416" t="s">
        <v>2</v>
      </c>
      <c r="C43" s="379"/>
      <c r="D43" s="380"/>
      <c r="E43" s="400">
        <f t="shared" si="1"/>
        <v>0</v>
      </c>
      <c r="F43" s="396">
        <v>0</v>
      </c>
      <c r="G43" s="387"/>
    </row>
    <row r="44" spans="1:8" s="313" customFormat="1" ht="15" customHeight="1" hidden="1">
      <c r="A44" s="215" t="s">
        <v>43</v>
      </c>
      <c r="B44" s="417" t="s">
        <v>71</v>
      </c>
      <c r="C44" s="403"/>
      <c r="D44" s="418"/>
      <c r="E44" s="381">
        <f t="shared" si="1"/>
        <v>0</v>
      </c>
      <c r="F44" s="379">
        <v>0</v>
      </c>
      <c r="G44" s="419">
        <v>0</v>
      </c>
      <c r="H44" s="313" t="s">
        <v>72</v>
      </c>
    </row>
    <row r="45" spans="1:7" s="313" customFormat="1" ht="16.5" customHeight="1" hidden="1">
      <c r="A45" s="320"/>
      <c r="B45" s="420"/>
      <c r="C45" s="403"/>
      <c r="D45" s="418"/>
      <c r="E45" s="418"/>
      <c r="F45" s="403"/>
      <c r="G45" s="405"/>
    </row>
    <row r="46" spans="1:7" s="313" customFormat="1" ht="15.75" customHeight="1" hidden="1">
      <c r="A46" s="328"/>
      <c r="B46" s="421" t="s">
        <v>51</v>
      </c>
      <c r="C46" s="403"/>
      <c r="D46" s="418"/>
      <c r="E46" s="422">
        <f>SUM(F46:G46)</f>
        <v>0</v>
      </c>
      <c r="F46" s="423">
        <v>0</v>
      </c>
      <c r="G46" s="424">
        <v>0</v>
      </c>
    </row>
    <row r="47" spans="1:7" s="313" customFormat="1" ht="15.75" customHeight="1" hidden="1">
      <c r="A47" s="328"/>
      <c r="B47" s="421" t="s">
        <v>52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s="313" customFormat="1" ht="15.75" thickBot="1">
      <c r="A48" s="328"/>
      <c r="B48" s="425" t="s">
        <v>176</v>
      </c>
      <c r="C48" s="403"/>
      <c r="D48" s="418"/>
      <c r="E48" s="381">
        <f>SUM(F48:G48)</f>
        <v>34000</v>
      </c>
      <c r="F48" s="379">
        <v>34000</v>
      </c>
      <c r="G48" s="382">
        <v>0</v>
      </c>
    </row>
    <row r="49" spans="1:7" s="313" customFormat="1" ht="18" customHeight="1" thickBot="1">
      <c r="A49" s="186" t="s">
        <v>11</v>
      </c>
      <c r="B49" s="426"/>
      <c r="C49" s="427"/>
      <c r="D49" s="428"/>
      <c r="E49" s="429">
        <f>SUM(E50:E70)+E72+E77</f>
        <v>2380438</v>
      </c>
      <c r="F49" s="429">
        <f>SUM(F50:F70)+F72+F77</f>
        <v>1580438</v>
      </c>
      <c r="G49" s="429">
        <f>SUM(G50:G70)+G72+G77</f>
        <v>800000</v>
      </c>
    </row>
    <row r="50" spans="1:7" s="313" customFormat="1" ht="32.25" customHeight="1">
      <c r="A50" s="181" t="s">
        <v>3</v>
      </c>
      <c r="B50" s="430" t="s">
        <v>114</v>
      </c>
      <c r="C50" s="397"/>
      <c r="D50" s="431"/>
      <c r="E50" s="432">
        <f aca="true" t="shared" si="2" ref="E50:E66">SUM(F50:G50)</f>
        <v>500000</v>
      </c>
      <c r="F50" s="432">
        <f>0+500000</f>
        <v>500000</v>
      </c>
      <c r="G50" s="433">
        <f>500000-500000</f>
        <v>0</v>
      </c>
    </row>
    <row r="51" spans="1:7" s="313" customFormat="1" ht="33.75" customHeight="1">
      <c r="A51" s="217"/>
      <c r="B51" s="434" t="s">
        <v>168</v>
      </c>
      <c r="C51" s="435"/>
      <c r="D51" s="435"/>
      <c r="E51" s="401">
        <f t="shared" si="2"/>
        <v>10488</v>
      </c>
      <c r="F51" s="435">
        <v>10488</v>
      </c>
      <c r="G51" s="382">
        <v>0</v>
      </c>
    </row>
    <row r="52" spans="1:7" s="313" customFormat="1" ht="32.25" customHeight="1" thickBot="1">
      <c r="A52" s="218"/>
      <c r="B52" s="436" t="s">
        <v>184</v>
      </c>
      <c r="C52" s="437">
        <v>15000</v>
      </c>
      <c r="D52" s="438">
        <v>15000</v>
      </c>
      <c r="E52" s="439">
        <f t="shared" si="2"/>
        <v>50000</v>
      </c>
      <c r="F52" s="439">
        <v>50000</v>
      </c>
      <c r="G52" s="440">
        <v>0</v>
      </c>
    </row>
    <row r="53" spans="1:8" s="313" customFormat="1" ht="15.75" customHeight="1">
      <c r="A53" s="219" t="s">
        <v>44</v>
      </c>
      <c r="B53" s="441" t="s">
        <v>129</v>
      </c>
      <c r="C53" s="397">
        <v>15000</v>
      </c>
      <c r="D53" s="398">
        <v>15000</v>
      </c>
      <c r="E53" s="399">
        <f t="shared" si="2"/>
        <v>50000</v>
      </c>
      <c r="F53" s="442">
        <v>50000</v>
      </c>
      <c r="G53" s="443">
        <v>0</v>
      </c>
      <c r="H53" s="335"/>
    </row>
    <row r="54" spans="1:8" s="313" customFormat="1" ht="15" customHeight="1">
      <c r="A54" s="221"/>
      <c r="B54" s="413" t="s">
        <v>130</v>
      </c>
      <c r="C54" s="379"/>
      <c r="D54" s="380"/>
      <c r="E54" s="381">
        <f t="shared" si="2"/>
        <v>10000</v>
      </c>
      <c r="F54" s="444">
        <v>10000</v>
      </c>
      <c r="G54" s="445">
        <v>0</v>
      </c>
      <c r="H54" s="313" t="s">
        <v>131</v>
      </c>
    </row>
    <row r="55" spans="1:8" s="313" customFormat="1" ht="16.5" customHeight="1">
      <c r="A55" s="222"/>
      <c r="B55" s="394" t="s">
        <v>132</v>
      </c>
      <c r="C55" s="379"/>
      <c r="D55" s="380"/>
      <c r="E55" s="381">
        <f t="shared" si="2"/>
        <v>40000</v>
      </c>
      <c r="F55" s="444">
        <v>40000</v>
      </c>
      <c r="G55" s="445">
        <v>0</v>
      </c>
      <c r="H55" s="313" t="s">
        <v>133</v>
      </c>
    </row>
    <row r="56" spans="1:8" s="313" customFormat="1" ht="18" customHeight="1">
      <c r="A56" s="222"/>
      <c r="B56" s="394" t="s">
        <v>68</v>
      </c>
      <c r="C56" s="379"/>
      <c r="D56" s="380"/>
      <c r="E56" s="381">
        <f t="shared" si="2"/>
        <v>14000</v>
      </c>
      <c r="F56" s="444">
        <v>14000</v>
      </c>
      <c r="G56" s="445">
        <v>0</v>
      </c>
      <c r="H56" s="313" t="s">
        <v>134</v>
      </c>
    </row>
    <row r="57" spans="1:8" s="313" customFormat="1" ht="16.5" customHeight="1">
      <c r="A57" s="222"/>
      <c r="B57" s="378" t="s">
        <v>149</v>
      </c>
      <c r="C57" s="435"/>
      <c r="D57" s="435"/>
      <c r="E57" s="401">
        <f t="shared" si="2"/>
        <v>66000</v>
      </c>
      <c r="F57" s="435">
        <v>66000</v>
      </c>
      <c r="G57" s="382">
        <v>0</v>
      </c>
      <c r="H57" s="313" t="s">
        <v>135</v>
      </c>
    </row>
    <row r="58" spans="1:7" s="313" customFormat="1" ht="18" customHeight="1">
      <c r="A58" s="223"/>
      <c r="B58" s="434" t="s">
        <v>123</v>
      </c>
      <c r="C58" s="435"/>
      <c r="D58" s="435"/>
      <c r="E58" s="401">
        <f t="shared" si="2"/>
        <v>25000</v>
      </c>
      <c r="F58" s="435">
        <v>25000</v>
      </c>
      <c r="G58" s="382">
        <v>0</v>
      </c>
    </row>
    <row r="59" spans="1:7" s="313" customFormat="1" ht="16.5" customHeight="1">
      <c r="A59" s="223"/>
      <c r="B59" s="434" t="s">
        <v>115</v>
      </c>
      <c r="C59" s="435"/>
      <c r="D59" s="435"/>
      <c r="E59" s="401">
        <f t="shared" si="2"/>
        <v>15000</v>
      </c>
      <c r="F59" s="435">
        <v>15000</v>
      </c>
      <c r="G59" s="382">
        <v>0</v>
      </c>
    </row>
    <row r="60" spans="1:7" s="313" customFormat="1" ht="16.5" customHeight="1">
      <c r="A60" s="223"/>
      <c r="B60" s="434" t="s">
        <v>182</v>
      </c>
      <c r="C60" s="435"/>
      <c r="D60" s="435"/>
      <c r="E60" s="401">
        <f t="shared" si="2"/>
        <v>381000</v>
      </c>
      <c r="F60" s="435">
        <v>381000</v>
      </c>
      <c r="G60" s="382">
        <v>0</v>
      </c>
    </row>
    <row r="61" spans="1:8" s="313" customFormat="1" ht="16.5" customHeight="1">
      <c r="A61" s="223"/>
      <c r="B61" s="434" t="s">
        <v>124</v>
      </c>
      <c r="C61" s="435">
        <v>12500</v>
      </c>
      <c r="D61" s="435">
        <v>12500</v>
      </c>
      <c r="E61" s="401">
        <f t="shared" si="2"/>
        <v>0</v>
      </c>
      <c r="F61" s="435">
        <v>0</v>
      </c>
      <c r="G61" s="382">
        <v>0</v>
      </c>
      <c r="H61" s="313" t="s">
        <v>70</v>
      </c>
    </row>
    <row r="62" spans="1:7" s="313" customFormat="1" ht="16.5" customHeight="1">
      <c r="A62" s="223"/>
      <c r="B62" s="434" t="s">
        <v>180</v>
      </c>
      <c r="C62" s="435"/>
      <c r="D62" s="435"/>
      <c r="E62" s="401">
        <f t="shared" si="2"/>
        <v>3950</v>
      </c>
      <c r="F62" s="435">
        <v>3950</v>
      </c>
      <c r="G62" s="382"/>
    </row>
    <row r="63" spans="1:7" s="313" customFormat="1" ht="16.5" customHeight="1">
      <c r="A63" s="223"/>
      <c r="B63" s="434" t="s">
        <v>181</v>
      </c>
      <c r="C63" s="435"/>
      <c r="D63" s="435"/>
      <c r="E63" s="401">
        <f t="shared" si="2"/>
        <v>0</v>
      </c>
      <c r="F63" s="435">
        <f>3050-3050</f>
        <v>0</v>
      </c>
      <c r="G63" s="382"/>
    </row>
    <row r="64" spans="1:7" s="313" customFormat="1" ht="18" customHeight="1">
      <c r="A64" s="223"/>
      <c r="B64" s="434" t="s">
        <v>136</v>
      </c>
      <c r="C64" s="435">
        <v>12500</v>
      </c>
      <c r="D64" s="435">
        <v>12500</v>
      </c>
      <c r="E64" s="401">
        <f t="shared" si="2"/>
        <v>0</v>
      </c>
      <c r="F64" s="435">
        <f>105000-105000</f>
        <v>0</v>
      </c>
      <c r="G64" s="382">
        <v>0</v>
      </c>
    </row>
    <row r="65" spans="1:7" s="313" customFormat="1" ht="17.25" customHeight="1">
      <c r="A65" s="223"/>
      <c r="B65" s="434" t="s">
        <v>170</v>
      </c>
      <c r="C65" s="435"/>
      <c r="D65" s="435"/>
      <c r="E65" s="401">
        <f t="shared" si="2"/>
        <v>360000</v>
      </c>
      <c r="F65" s="435">
        <f>350000+10000</f>
        <v>360000</v>
      </c>
      <c r="G65" s="382">
        <v>0</v>
      </c>
    </row>
    <row r="66" spans="1:7" s="313" customFormat="1" ht="16.5" customHeight="1">
      <c r="A66" s="223"/>
      <c r="B66" s="434" t="s">
        <v>171</v>
      </c>
      <c r="C66" s="435"/>
      <c r="D66" s="435"/>
      <c r="E66" s="401">
        <f t="shared" si="2"/>
        <v>0</v>
      </c>
      <c r="F66" s="435">
        <f>160000-160000</f>
        <v>0</v>
      </c>
      <c r="G66" s="382">
        <v>0</v>
      </c>
    </row>
    <row r="67" spans="1:7" s="313" customFormat="1" ht="16.5" customHeight="1" hidden="1">
      <c r="A67" s="754" t="s">
        <v>6</v>
      </c>
      <c r="B67" s="822" t="s">
        <v>7</v>
      </c>
      <c r="C67" s="446" t="s">
        <v>18</v>
      </c>
      <c r="D67" s="446" t="s">
        <v>8</v>
      </c>
      <c r="E67" s="824" t="s">
        <v>47</v>
      </c>
      <c r="F67" s="826" t="s">
        <v>19</v>
      </c>
      <c r="G67" s="827"/>
    </row>
    <row r="68" spans="1:7" s="313" customFormat="1" ht="16.5" customHeight="1" hidden="1">
      <c r="A68" s="777"/>
      <c r="B68" s="823"/>
      <c r="C68" s="446" t="s">
        <v>0</v>
      </c>
      <c r="D68" s="446" t="s">
        <v>14</v>
      </c>
      <c r="E68" s="825"/>
      <c r="F68" s="828" t="s">
        <v>13</v>
      </c>
      <c r="G68" s="829" t="s">
        <v>20</v>
      </c>
    </row>
    <row r="69" spans="1:7" s="313" customFormat="1" ht="16.5" customHeight="1" hidden="1">
      <c r="A69" s="778"/>
      <c r="B69" s="823"/>
      <c r="C69" s="446"/>
      <c r="D69" s="446" t="s">
        <v>15</v>
      </c>
      <c r="E69" s="825"/>
      <c r="F69" s="825"/>
      <c r="G69" s="830"/>
    </row>
    <row r="70" spans="1:7" s="313" customFormat="1" ht="16.5" customHeight="1" hidden="1">
      <c r="A70" s="325"/>
      <c r="B70" s="447" t="s">
        <v>105</v>
      </c>
      <c r="C70" s="448"/>
      <c r="D70" s="448"/>
      <c r="E70" s="449">
        <f>SUM(F70:G70)</f>
        <v>0</v>
      </c>
      <c r="F70" s="448">
        <v>0</v>
      </c>
      <c r="G70" s="450"/>
    </row>
    <row r="71" spans="1:7" s="313" customFormat="1" ht="19.5" customHeight="1" hidden="1">
      <c r="A71" s="223"/>
      <c r="B71" s="451"/>
      <c r="C71" s="365"/>
      <c r="D71" s="366"/>
      <c r="E71" s="366"/>
      <c r="F71" s="365"/>
      <c r="G71" s="365"/>
    </row>
    <row r="72" spans="1:7" s="313" customFormat="1" ht="39.75" customHeight="1" hidden="1">
      <c r="A72" s="182" t="s">
        <v>29</v>
      </c>
      <c r="B72" s="415" t="s">
        <v>34</v>
      </c>
      <c r="C72" s="452"/>
      <c r="D72" s="453"/>
      <c r="E72" s="442">
        <f>SUM(F72:G72)</f>
        <v>0</v>
      </c>
      <c r="F72" s="443">
        <f>SUM(F73:F76)</f>
        <v>0</v>
      </c>
      <c r="G72" s="443">
        <v>0</v>
      </c>
    </row>
    <row r="73" spans="1:7" s="313" customFormat="1" ht="16.5" customHeight="1" hidden="1">
      <c r="A73" s="224"/>
      <c r="B73" s="454" t="s">
        <v>30</v>
      </c>
      <c r="C73" s="455"/>
      <c r="D73" s="456"/>
      <c r="E73" s="457"/>
      <c r="F73" s="458">
        <v>0</v>
      </c>
      <c r="G73" s="458">
        <v>0</v>
      </c>
    </row>
    <row r="74" spans="1:7" s="313" customFormat="1" ht="16.5" customHeight="1" hidden="1">
      <c r="A74" s="208"/>
      <c r="B74" s="459" t="s">
        <v>31</v>
      </c>
      <c r="C74" s="460"/>
      <c r="D74" s="461"/>
      <c r="E74" s="462"/>
      <c r="F74" s="463">
        <v>0</v>
      </c>
      <c r="G74" s="463">
        <v>0</v>
      </c>
    </row>
    <row r="75" spans="1:7" s="313" customFormat="1" ht="16.5" customHeight="1" hidden="1">
      <c r="A75" s="208"/>
      <c r="B75" s="459" t="s">
        <v>32</v>
      </c>
      <c r="C75" s="460"/>
      <c r="D75" s="461"/>
      <c r="E75" s="462"/>
      <c r="F75" s="463">
        <v>0</v>
      </c>
      <c r="G75" s="463">
        <v>0</v>
      </c>
    </row>
    <row r="76" spans="1:7" s="313" customFormat="1" ht="16.5" customHeight="1" hidden="1">
      <c r="A76" s="225"/>
      <c r="B76" s="464" t="s">
        <v>33</v>
      </c>
      <c r="C76" s="465"/>
      <c r="D76" s="466"/>
      <c r="E76" s="467"/>
      <c r="F76" s="468">
        <v>0</v>
      </c>
      <c r="G76" s="468">
        <v>0</v>
      </c>
    </row>
    <row r="77" spans="1:7" s="313" customFormat="1" ht="16.5" customHeight="1" thickBot="1">
      <c r="A77" s="225"/>
      <c r="B77" s="434" t="s">
        <v>177</v>
      </c>
      <c r="C77" s="435"/>
      <c r="D77" s="435"/>
      <c r="E77" s="401">
        <f aca="true" t="shared" si="3" ref="E77:E84">SUM(F77:G77)</f>
        <v>855000</v>
      </c>
      <c r="F77" s="435">
        <f>865000-800000-10000</f>
        <v>55000</v>
      </c>
      <c r="G77" s="382">
        <f>0+800000</f>
        <v>800000</v>
      </c>
    </row>
    <row r="78" spans="1:7" s="313" customFormat="1" ht="16.5" customHeight="1" thickBot="1">
      <c r="A78" s="185" t="s">
        <v>137</v>
      </c>
      <c r="B78" s="469"/>
      <c r="C78" s="470"/>
      <c r="D78" s="471"/>
      <c r="E78" s="472">
        <f t="shared" si="3"/>
        <v>0</v>
      </c>
      <c r="F78" s="473">
        <f>SUM(F79:F80)</f>
        <v>0</v>
      </c>
      <c r="G78" s="474">
        <f>SUM(G79:G81)</f>
        <v>0</v>
      </c>
    </row>
    <row r="79" spans="1:7" s="313" customFormat="1" ht="30" customHeight="1" thickBot="1">
      <c r="A79" s="225" t="s">
        <v>138</v>
      </c>
      <c r="B79" s="631" t="s">
        <v>139</v>
      </c>
      <c r="C79" s="630"/>
      <c r="D79" s="629"/>
      <c r="E79" s="599">
        <f t="shared" si="3"/>
        <v>0</v>
      </c>
      <c r="F79" s="628">
        <f>15000-15000</f>
        <v>0</v>
      </c>
      <c r="G79" s="627">
        <v>0</v>
      </c>
    </row>
    <row r="80" spans="1:7" s="313" customFormat="1" ht="19.5" customHeight="1" thickBot="1">
      <c r="A80" s="229"/>
      <c r="B80" s="631" t="s">
        <v>140</v>
      </c>
      <c r="C80" s="630"/>
      <c r="D80" s="629"/>
      <c r="E80" s="599">
        <f t="shared" si="3"/>
        <v>0</v>
      </c>
      <c r="F80" s="628">
        <f>20000-20000</f>
        <v>0</v>
      </c>
      <c r="G80" s="627">
        <v>0</v>
      </c>
    </row>
    <row r="81" spans="1:7" s="313" customFormat="1" ht="15.75" customHeight="1" thickBot="1">
      <c r="A81" s="185" t="s">
        <v>36</v>
      </c>
      <c r="B81" s="476"/>
      <c r="C81" s="477"/>
      <c r="D81" s="477"/>
      <c r="E81" s="478">
        <f t="shared" si="3"/>
        <v>35100</v>
      </c>
      <c r="F81" s="479">
        <f>SUM(F82:F84)</f>
        <v>35100</v>
      </c>
      <c r="G81" s="479">
        <f>SUM(G82:G96)</f>
        <v>0</v>
      </c>
    </row>
    <row r="82" spans="1:7" s="313" customFormat="1" ht="17.25" customHeight="1" thickBot="1">
      <c r="A82" s="2" t="s">
        <v>4</v>
      </c>
      <c r="B82" s="480" t="s">
        <v>169</v>
      </c>
      <c r="C82" s="481"/>
      <c r="D82" s="482"/>
      <c r="E82" s="483">
        <f t="shared" si="3"/>
        <v>5100</v>
      </c>
      <c r="F82" s="484">
        <v>5100</v>
      </c>
      <c r="G82" s="485">
        <v>0</v>
      </c>
    </row>
    <row r="83" spans="1:7" s="313" customFormat="1" ht="15" customHeight="1" thickBot="1">
      <c r="A83" s="177"/>
      <c r="B83" s="480" t="s">
        <v>172</v>
      </c>
      <c r="C83" s="481"/>
      <c r="D83" s="482"/>
      <c r="E83" s="483">
        <f t="shared" si="3"/>
        <v>20000</v>
      </c>
      <c r="F83" s="484">
        <f>45000-25000</f>
        <v>20000</v>
      </c>
      <c r="G83" s="485">
        <v>0</v>
      </c>
    </row>
    <row r="84" spans="1:7" s="313" customFormat="1" ht="22.5" customHeight="1" thickBot="1">
      <c r="A84" s="182" t="s">
        <v>106</v>
      </c>
      <c r="B84" s="486" t="s">
        <v>125</v>
      </c>
      <c r="C84" s="481"/>
      <c r="D84" s="482"/>
      <c r="E84" s="487">
        <f t="shared" si="3"/>
        <v>10000</v>
      </c>
      <c r="F84" s="488">
        <v>10000</v>
      </c>
      <c r="G84" s="485">
        <v>0</v>
      </c>
    </row>
    <row r="85" spans="1:7" s="313" customFormat="1" ht="15" customHeight="1" hidden="1">
      <c r="A85" s="177"/>
      <c r="B85" s="489"/>
      <c r="C85" s="490"/>
      <c r="D85" s="490"/>
      <c r="E85" s="491"/>
      <c r="F85" s="492"/>
      <c r="G85" s="463"/>
    </row>
    <row r="86" spans="1:7" s="313" customFormat="1" ht="15" customHeight="1" hidden="1">
      <c r="A86" s="177"/>
      <c r="B86" s="489"/>
      <c r="C86" s="490"/>
      <c r="D86" s="490"/>
      <c r="E86" s="491"/>
      <c r="F86" s="492"/>
      <c r="G86" s="463"/>
    </row>
    <row r="87" spans="1:7" s="313" customFormat="1" ht="26.25" customHeight="1" thickBot="1">
      <c r="A87" s="185" t="s">
        <v>66</v>
      </c>
      <c r="B87" s="476"/>
      <c r="C87" s="477"/>
      <c r="D87" s="477"/>
      <c r="E87" s="478">
        <f aca="true" t="shared" si="4" ref="E87:E92">SUM(F87:G87)</f>
        <v>60000</v>
      </c>
      <c r="F87" s="479">
        <f>SUM(F88:F89)</f>
        <v>60000</v>
      </c>
      <c r="G87" s="479">
        <f>SUM(G88:G98)</f>
        <v>0</v>
      </c>
    </row>
    <row r="88" spans="1:7" s="313" customFormat="1" ht="31.5" customHeight="1" hidden="1">
      <c r="A88" s="183" t="s">
        <v>48</v>
      </c>
      <c r="B88" s="493" t="s">
        <v>49</v>
      </c>
      <c r="C88" s="437"/>
      <c r="D88" s="438"/>
      <c r="E88" s="494">
        <f t="shared" si="4"/>
        <v>0</v>
      </c>
      <c r="F88" s="437">
        <v>0</v>
      </c>
      <c r="G88" s="495">
        <v>0</v>
      </c>
    </row>
    <row r="89" spans="1:8" s="313" customFormat="1" ht="15.75" thickBot="1">
      <c r="A89" s="183" t="s">
        <v>65</v>
      </c>
      <c r="B89" s="493" t="s">
        <v>173</v>
      </c>
      <c r="C89" s="437"/>
      <c r="D89" s="438"/>
      <c r="E89" s="494">
        <f t="shared" si="4"/>
        <v>60000</v>
      </c>
      <c r="F89" s="437">
        <f>35000+25000</f>
        <v>60000</v>
      </c>
      <c r="G89" s="495">
        <v>0</v>
      </c>
      <c r="H89" s="313" t="s">
        <v>109</v>
      </c>
    </row>
    <row r="90" spans="1:7" s="313" customFormat="1" ht="14.25" customHeight="1" thickBot="1">
      <c r="A90" s="185" t="s">
        <v>60</v>
      </c>
      <c r="B90" s="469"/>
      <c r="C90" s="470"/>
      <c r="D90" s="471"/>
      <c r="E90" s="472">
        <f t="shared" si="4"/>
        <v>342</v>
      </c>
      <c r="F90" s="473">
        <f>SUM(F91)</f>
        <v>342</v>
      </c>
      <c r="G90" s="474">
        <f>SUM(G91:G92)</f>
        <v>0</v>
      </c>
    </row>
    <row r="91" spans="1:7" s="313" customFormat="1" ht="16.5" customHeight="1" thickBot="1">
      <c r="A91" s="229" t="s">
        <v>61</v>
      </c>
      <c r="B91" s="631" t="s">
        <v>62</v>
      </c>
      <c r="C91" s="630"/>
      <c r="D91" s="629"/>
      <c r="E91" s="599">
        <f t="shared" si="4"/>
        <v>342</v>
      </c>
      <c r="F91" s="628">
        <f>342+10000-10000</f>
        <v>342</v>
      </c>
      <c r="G91" s="627">
        <v>0</v>
      </c>
    </row>
    <row r="92" spans="1:7" s="313" customFormat="1" ht="28.5" customHeight="1" hidden="1">
      <c r="A92" s="183" t="s">
        <v>48</v>
      </c>
      <c r="B92" s="493" t="s">
        <v>49</v>
      </c>
      <c r="C92" s="437"/>
      <c r="D92" s="438"/>
      <c r="E92" s="494">
        <f t="shared" si="4"/>
        <v>0</v>
      </c>
      <c r="F92" s="437">
        <v>0</v>
      </c>
      <c r="G92" s="495">
        <v>0</v>
      </c>
    </row>
    <row r="93" spans="1:7" s="313" customFormat="1" ht="12.75" customHeight="1" hidden="1">
      <c r="A93" s="751" t="s">
        <v>6</v>
      </c>
      <c r="B93" s="785" t="s">
        <v>7</v>
      </c>
      <c r="C93" s="406" t="s">
        <v>18</v>
      </c>
      <c r="D93" s="407" t="s">
        <v>8</v>
      </c>
      <c r="E93" s="787" t="s">
        <v>96</v>
      </c>
      <c r="F93" s="834" t="s">
        <v>19</v>
      </c>
      <c r="G93" s="835"/>
    </row>
    <row r="94" spans="1:7" s="313" customFormat="1" ht="12.75" customHeight="1" hidden="1">
      <c r="A94" s="779"/>
      <c r="B94" s="831"/>
      <c r="C94" s="408" t="s">
        <v>0</v>
      </c>
      <c r="D94" s="409" t="s">
        <v>14</v>
      </c>
      <c r="E94" s="788"/>
      <c r="F94" s="836" t="s">
        <v>54</v>
      </c>
      <c r="G94" s="838" t="s">
        <v>55</v>
      </c>
    </row>
    <row r="95" spans="1:7" s="313" customFormat="1" ht="10.5" customHeight="1" hidden="1">
      <c r="A95" s="780"/>
      <c r="B95" s="832"/>
      <c r="C95" s="410"/>
      <c r="D95" s="411" t="s">
        <v>15</v>
      </c>
      <c r="E95" s="833"/>
      <c r="F95" s="837"/>
      <c r="G95" s="839"/>
    </row>
    <row r="96" spans="1:7" s="313" customFormat="1" ht="20.25" customHeight="1" hidden="1">
      <c r="A96" s="188"/>
      <c r="B96" s="496" t="s">
        <v>38</v>
      </c>
      <c r="C96" s="460"/>
      <c r="D96" s="461"/>
      <c r="E96" s="483">
        <f aca="true" t="shared" si="5" ref="E96:E114">SUM(F96:G96)</f>
        <v>0</v>
      </c>
      <c r="F96" s="484">
        <v>0</v>
      </c>
      <c r="G96" s="485">
        <v>0</v>
      </c>
    </row>
    <row r="97" spans="1:9" s="304" customFormat="1" ht="16.5" customHeight="1" thickBot="1">
      <c r="A97" s="185" t="s">
        <v>12</v>
      </c>
      <c r="B97" s="497"/>
      <c r="C97" s="498">
        <v>12500</v>
      </c>
      <c r="D97" s="499">
        <v>12500</v>
      </c>
      <c r="E97" s="472">
        <f t="shared" si="5"/>
        <v>2058387</v>
      </c>
      <c r="F97" s="500">
        <f>SUM(F98:F108)+F109</f>
        <v>2058387</v>
      </c>
      <c r="G97" s="474">
        <f>SUM(G98:G102)</f>
        <v>0</v>
      </c>
      <c r="H97" s="207"/>
      <c r="I97" s="207"/>
    </row>
    <row r="98" spans="1:9" s="304" customFormat="1" ht="18.75" customHeight="1">
      <c r="A98" s="293" t="s">
        <v>26</v>
      </c>
      <c r="B98" s="416" t="s">
        <v>101</v>
      </c>
      <c r="C98" s="501"/>
      <c r="D98" s="502"/>
      <c r="E98" s="381">
        <f t="shared" si="5"/>
        <v>550000</v>
      </c>
      <c r="F98" s="503">
        <v>550000</v>
      </c>
      <c r="G98" s="445">
        <v>0</v>
      </c>
      <c r="H98" s="207"/>
      <c r="I98" s="207"/>
    </row>
    <row r="99" spans="1:9" s="304" customFormat="1" ht="21" customHeight="1">
      <c r="A99" s="294"/>
      <c r="B99" s="416" t="s">
        <v>112</v>
      </c>
      <c r="C99" s="501"/>
      <c r="D99" s="502"/>
      <c r="E99" s="381">
        <f t="shared" si="5"/>
        <v>1245687</v>
      </c>
      <c r="F99" s="503">
        <f>1205687+40000</f>
        <v>1245687</v>
      </c>
      <c r="G99" s="445">
        <v>0</v>
      </c>
      <c r="H99" s="207"/>
      <c r="I99" s="207"/>
    </row>
    <row r="100" spans="1:9" s="304" customFormat="1" ht="19.5" customHeight="1">
      <c r="A100" s="295"/>
      <c r="B100" s="415" t="s">
        <v>92</v>
      </c>
      <c r="C100" s="504">
        <v>47000</v>
      </c>
      <c r="D100" s="505">
        <v>47000</v>
      </c>
      <c r="E100" s="399">
        <f t="shared" si="5"/>
        <v>10000</v>
      </c>
      <c r="F100" s="506">
        <v>10000</v>
      </c>
      <c r="G100" s="443">
        <v>0</v>
      </c>
      <c r="H100" s="207"/>
      <c r="I100" s="207"/>
    </row>
    <row r="101" spans="1:9" s="304" customFormat="1" ht="18" customHeight="1" thickBot="1">
      <c r="A101" s="296"/>
      <c r="B101" s="507" t="s">
        <v>122</v>
      </c>
      <c r="C101" s="508"/>
      <c r="D101" s="508"/>
      <c r="E101" s="399">
        <f t="shared" si="5"/>
        <v>7000</v>
      </c>
      <c r="F101" s="506">
        <v>7000</v>
      </c>
      <c r="G101" s="443"/>
      <c r="H101" s="207"/>
      <c r="I101" s="207"/>
    </row>
    <row r="102" spans="1:9" s="304" customFormat="1" ht="17.25" customHeight="1">
      <c r="A102" s="259" t="s">
        <v>27</v>
      </c>
      <c r="B102" s="415" t="s">
        <v>174</v>
      </c>
      <c r="C102" s="501"/>
      <c r="D102" s="502"/>
      <c r="E102" s="444">
        <f t="shared" si="5"/>
        <v>240000</v>
      </c>
      <c r="F102" s="503">
        <f>210000+30000</f>
        <v>240000</v>
      </c>
      <c r="G102" s="445">
        <v>0</v>
      </c>
      <c r="H102" s="207"/>
      <c r="I102" s="207"/>
    </row>
    <row r="103" spans="1:7" ht="15.75" hidden="1">
      <c r="A103" s="184" t="s">
        <v>63</v>
      </c>
      <c r="B103" s="416"/>
      <c r="C103" s="379"/>
      <c r="D103" s="380"/>
      <c r="E103" s="509">
        <f t="shared" si="5"/>
        <v>0</v>
      </c>
      <c r="F103" s="510">
        <f>SUM(F104)</f>
        <v>0</v>
      </c>
      <c r="G103" s="511">
        <f>SUM(G104)</f>
        <v>0</v>
      </c>
    </row>
    <row r="104" spans="1:7" ht="24" customHeight="1" hidden="1">
      <c r="A104" s="1" t="s">
        <v>64</v>
      </c>
      <c r="B104" s="493" t="s">
        <v>87</v>
      </c>
      <c r="C104" s="437"/>
      <c r="D104" s="438"/>
      <c r="E104" s="512">
        <f t="shared" si="5"/>
        <v>0</v>
      </c>
      <c r="F104" s="439">
        <v>0</v>
      </c>
      <c r="G104" s="440">
        <v>0</v>
      </c>
    </row>
    <row r="105" spans="1:7" ht="24" customHeight="1" hidden="1">
      <c r="A105" s="260"/>
      <c r="B105" s="416" t="s">
        <v>110</v>
      </c>
      <c r="C105" s="501"/>
      <c r="D105" s="502"/>
      <c r="E105" s="444">
        <f t="shared" si="5"/>
        <v>0</v>
      </c>
      <c r="F105" s="503">
        <v>0</v>
      </c>
      <c r="G105" s="513">
        <v>0</v>
      </c>
    </row>
    <row r="106" spans="1:7" ht="16.5" customHeight="1" hidden="1">
      <c r="A106" s="165"/>
      <c r="B106" s="416" t="s">
        <v>111</v>
      </c>
      <c r="C106" s="501"/>
      <c r="D106" s="502"/>
      <c r="E106" s="444">
        <f t="shared" si="5"/>
        <v>0</v>
      </c>
      <c r="F106" s="503">
        <v>0</v>
      </c>
      <c r="G106" s="445">
        <v>0</v>
      </c>
    </row>
    <row r="107" spans="1:7" ht="18" customHeight="1" hidden="1">
      <c r="A107" s="166" t="s">
        <v>99</v>
      </c>
      <c r="B107" s="416" t="s">
        <v>100</v>
      </c>
      <c r="C107" s="501"/>
      <c r="D107" s="502"/>
      <c r="E107" s="444">
        <f t="shared" si="5"/>
        <v>0</v>
      </c>
      <c r="F107" s="503">
        <v>0</v>
      </c>
      <c r="G107" s="445">
        <v>0</v>
      </c>
    </row>
    <row r="108" spans="1:7" ht="18" customHeight="1" hidden="1">
      <c r="A108" s="179"/>
      <c r="B108" s="415" t="s">
        <v>92</v>
      </c>
      <c r="C108" s="504">
        <v>47000</v>
      </c>
      <c r="D108" s="505">
        <v>47000</v>
      </c>
      <c r="E108" s="399">
        <f t="shared" si="5"/>
        <v>0</v>
      </c>
      <c r="F108" s="506">
        <v>0</v>
      </c>
      <c r="G108" s="443">
        <v>0</v>
      </c>
    </row>
    <row r="109" spans="1:7" ht="18" customHeight="1" thickBot="1">
      <c r="A109" s="179" t="s">
        <v>178</v>
      </c>
      <c r="B109" s="496" t="s">
        <v>179</v>
      </c>
      <c r="C109" s="514"/>
      <c r="D109" s="515"/>
      <c r="E109" s="444">
        <f t="shared" si="5"/>
        <v>5700</v>
      </c>
      <c r="F109" s="503">
        <v>5700</v>
      </c>
      <c r="G109" s="445">
        <v>0</v>
      </c>
    </row>
    <row r="110" spans="1:7" ht="18" customHeight="1" thickBot="1">
      <c r="A110" s="185" t="s">
        <v>107</v>
      </c>
      <c r="B110" s="497"/>
      <c r="C110" s="498">
        <v>12500</v>
      </c>
      <c r="D110" s="499">
        <v>12500</v>
      </c>
      <c r="E110" s="472">
        <f t="shared" si="5"/>
        <v>50000</v>
      </c>
      <c r="F110" s="516">
        <f>SUM(F111)</f>
        <v>50000</v>
      </c>
      <c r="G110" s="474">
        <f>SUM(G111)</f>
        <v>0</v>
      </c>
    </row>
    <row r="111" spans="1:7" ht="20.25" customHeight="1" thickBot="1">
      <c r="A111" s="3" t="s">
        <v>108</v>
      </c>
      <c r="B111" s="339" t="s">
        <v>162</v>
      </c>
      <c r="C111" s="340"/>
      <c r="D111" s="341"/>
      <c r="E111" s="318">
        <f t="shared" si="5"/>
        <v>50000</v>
      </c>
      <c r="F111" s="342">
        <f>50000-50000+50000</f>
        <v>50000</v>
      </c>
      <c r="G111" s="345">
        <v>0</v>
      </c>
    </row>
    <row r="112" spans="1:7" ht="31.5" customHeight="1" thickBot="1">
      <c r="A112" s="186" t="s">
        <v>9</v>
      </c>
      <c r="B112" s="426"/>
      <c r="C112" s="427">
        <v>40000</v>
      </c>
      <c r="D112" s="517">
        <v>40000</v>
      </c>
      <c r="E112" s="472">
        <f t="shared" si="5"/>
        <v>143500</v>
      </c>
      <c r="F112" s="518">
        <f>SUM(F114:F119)</f>
        <v>143500</v>
      </c>
      <c r="G112" s="519">
        <f>SUM(G114:G119)</f>
        <v>0</v>
      </c>
    </row>
    <row r="113" spans="1:7" s="313" customFormat="1" ht="13.5" customHeight="1" hidden="1">
      <c r="A113" s="230"/>
      <c r="B113" s="520"/>
      <c r="C113" s="521"/>
      <c r="D113" s="522"/>
      <c r="E113" s="399">
        <f t="shared" si="5"/>
        <v>0</v>
      </c>
      <c r="F113" s="523"/>
      <c r="G113" s="511"/>
    </row>
    <row r="114" spans="1:7" s="313" customFormat="1" ht="19.5" customHeight="1" hidden="1">
      <c r="A114" s="231" t="s">
        <v>89</v>
      </c>
      <c r="B114" s="524" t="s">
        <v>91</v>
      </c>
      <c r="C114" s="525">
        <v>36475</v>
      </c>
      <c r="D114" s="526">
        <v>36475</v>
      </c>
      <c r="E114" s="494">
        <f t="shared" si="5"/>
        <v>0</v>
      </c>
      <c r="F114" s="527">
        <v>0</v>
      </c>
      <c r="G114" s="440">
        <v>0</v>
      </c>
    </row>
    <row r="115" spans="1:7" s="313" customFormat="1" ht="15.75" customHeight="1" hidden="1">
      <c r="A115" s="751" t="s">
        <v>6</v>
      </c>
      <c r="B115" s="785" t="s">
        <v>7</v>
      </c>
      <c r="C115" s="406" t="s">
        <v>18</v>
      </c>
      <c r="D115" s="407" t="s">
        <v>8</v>
      </c>
      <c r="E115" s="813" t="s">
        <v>37</v>
      </c>
      <c r="F115" s="816" t="s">
        <v>19</v>
      </c>
      <c r="G115" s="817"/>
    </row>
    <row r="116" spans="1:7" s="313" customFormat="1" ht="16.5" hidden="1" thickBot="1">
      <c r="A116" s="779"/>
      <c r="B116" s="831"/>
      <c r="C116" s="408" t="s">
        <v>0</v>
      </c>
      <c r="D116" s="409" t="s">
        <v>14</v>
      </c>
      <c r="E116" s="814"/>
      <c r="F116" s="818" t="s">
        <v>13</v>
      </c>
      <c r="G116" s="820" t="s">
        <v>20</v>
      </c>
    </row>
    <row r="117" spans="1:7" s="313" customFormat="1" ht="15" customHeight="1" hidden="1">
      <c r="A117" s="780"/>
      <c r="B117" s="832"/>
      <c r="C117" s="410"/>
      <c r="D117" s="411" t="s">
        <v>15</v>
      </c>
      <c r="E117" s="815"/>
      <c r="F117" s="819"/>
      <c r="G117" s="821"/>
    </row>
    <row r="118" spans="1:7" s="313" customFormat="1" ht="45" customHeight="1" hidden="1">
      <c r="A118" s="231" t="s">
        <v>40</v>
      </c>
      <c r="B118" s="528" t="s">
        <v>41</v>
      </c>
      <c r="C118" s="529">
        <v>36475</v>
      </c>
      <c r="D118" s="530">
        <v>36475</v>
      </c>
      <c r="E118" s="400">
        <f aca="true" t="shared" si="6" ref="E118:E128">SUM(F118:G118)</f>
        <v>0</v>
      </c>
      <c r="F118" s="531">
        <v>0</v>
      </c>
      <c r="G118" s="513">
        <v>0</v>
      </c>
    </row>
    <row r="119" spans="1:7" s="313" customFormat="1" ht="18" customHeight="1" thickBot="1">
      <c r="A119" s="262" t="s">
        <v>35</v>
      </c>
      <c r="B119" s="532"/>
      <c r="C119" s="533"/>
      <c r="D119" s="534"/>
      <c r="E119" s="535">
        <f t="shared" si="6"/>
        <v>143500</v>
      </c>
      <c r="F119" s="536">
        <f>SUM(F120:F128)</f>
        <v>143500</v>
      </c>
      <c r="G119" s="536">
        <f>SUM(G120:G128)</f>
        <v>0</v>
      </c>
    </row>
    <row r="120" spans="1:7" s="313" customFormat="1" ht="16.5" customHeight="1">
      <c r="A120" s="263"/>
      <c r="B120" s="537" t="s">
        <v>116</v>
      </c>
      <c r="C120" s="538">
        <v>36475</v>
      </c>
      <c r="D120" s="539">
        <v>36475</v>
      </c>
      <c r="E120" s="540">
        <f t="shared" si="6"/>
        <v>40000</v>
      </c>
      <c r="F120" s="488">
        <v>40000</v>
      </c>
      <c r="G120" s="393">
        <v>0</v>
      </c>
    </row>
    <row r="121" spans="1:7" s="313" customFormat="1" ht="16.5" customHeight="1">
      <c r="A121" s="223"/>
      <c r="B121" s="541" t="s">
        <v>117</v>
      </c>
      <c r="C121" s="542"/>
      <c r="D121" s="543"/>
      <c r="E121" s="401">
        <f t="shared" si="6"/>
        <v>15000</v>
      </c>
      <c r="F121" s="435">
        <v>15000</v>
      </c>
      <c r="G121" s="382">
        <v>0</v>
      </c>
    </row>
    <row r="122" spans="1:7" s="313" customFormat="1" ht="18" customHeight="1">
      <c r="A122" s="223"/>
      <c r="B122" s="541" t="s">
        <v>118</v>
      </c>
      <c r="C122" s="538"/>
      <c r="D122" s="539"/>
      <c r="E122" s="401">
        <f t="shared" si="6"/>
        <v>8000</v>
      </c>
      <c r="F122" s="488">
        <v>8000</v>
      </c>
      <c r="G122" s="393">
        <v>0</v>
      </c>
    </row>
    <row r="123" spans="1:7" s="313" customFormat="1" ht="15.75" customHeight="1">
      <c r="A123" s="223"/>
      <c r="B123" s="544" t="s">
        <v>90</v>
      </c>
      <c r="C123" s="538"/>
      <c r="D123" s="539"/>
      <c r="E123" s="401">
        <f t="shared" si="6"/>
        <v>8200</v>
      </c>
      <c r="F123" s="545">
        <v>8200</v>
      </c>
      <c r="G123" s="393">
        <v>0</v>
      </c>
    </row>
    <row r="124" spans="1:7" s="313" customFormat="1" ht="16.5" customHeight="1">
      <c r="A124" s="223"/>
      <c r="B124" s="541" t="s">
        <v>119</v>
      </c>
      <c r="C124" s="542"/>
      <c r="D124" s="543"/>
      <c r="E124" s="540">
        <f t="shared" si="6"/>
        <v>3000</v>
      </c>
      <c r="F124" s="546">
        <v>3000</v>
      </c>
      <c r="G124" s="382">
        <v>0</v>
      </c>
    </row>
    <row r="125" spans="1:8" s="313" customFormat="1" ht="16.5" customHeight="1">
      <c r="A125" s="223"/>
      <c r="B125" s="541" t="s">
        <v>144</v>
      </c>
      <c r="C125" s="542"/>
      <c r="D125" s="543"/>
      <c r="E125" s="540">
        <f t="shared" si="6"/>
        <v>29000</v>
      </c>
      <c r="F125" s="546">
        <v>29000</v>
      </c>
      <c r="G125" s="382"/>
      <c r="H125" s="313" t="s">
        <v>145</v>
      </c>
    </row>
    <row r="126" spans="1:7" s="313" customFormat="1" ht="17.25" customHeight="1">
      <c r="A126" s="223"/>
      <c r="B126" s="541" t="s">
        <v>121</v>
      </c>
      <c r="C126" s="542"/>
      <c r="D126" s="543"/>
      <c r="E126" s="540">
        <f t="shared" si="6"/>
        <v>3000</v>
      </c>
      <c r="F126" s="546">
        <v>3000</v>
      </c>
      <c r="G126" s="382"/>
    </row>
    <row r="127" spans="1:7" s="313" customFormat="1" ht="20.25" customHeight="1">
      <c r="A127" s="223"/>
      <c r="B127" s="541" t="s">
        <v>141</v>
      </c>
      <c r="C127" s="542"/>
      <c r="D127" s="543"/>
      <c r="E127" s="540">
        <f t="shared" si="6"/>
        <v>24500</v>
      </c>
      <c r="F127" s="546">
        <f>25000-500</f>
        <v>24500</v>
      </c>
      <c r="G127" s="382"/>
    </row>
    <row r="128" spans="1:8" s="313" customFormat="1" ht="20.25" customHeight="1" thickBot="1">
      <c r="A128" s="223"/>
      <c r="B128" s="547" t="s">
        <v>120</v>
      </c>
      <c r="C128" s="529"/>
      <c r="D128" s="530"/>
      <c r="E128" s="548">
        <f t="shared" si="6"/>
        <v>12800</v>
      </c>
      <c r="F128" s="549">
        <f>12300+500</f>
        <v>12800</v>
      </c>
      <c r="G128" s="387"/>
      <c r="H128" s="313" t="s">
        <v>160</v>
      </c>
    </row>
    <row r="129" spans="1:7" ht="15" customHeight="1">
      <c r="A129" s="751" t="s">
        <v>6</v>
      </c>
      <c r="B129" s="785" t="s">
        <v>7</v>
      </c>
      <c r="C129" s="406" t="s">
        <v>18</v>
      </c>
      <c r="D129" s="407" t="s">
        <v>8</v>
      </c>
      <c r="E129" s="813" t="s">
        <v>165</v>
      </c>
      <c r="F129" s="816" t="s">
        <v>19</v>
      </c>
      <c r="G129" s="817"/>
    </row>
    <row r="130" spans="1:7" ht="12.75" customHeight="1">
      <c r="A130" s="779"/>
      <c r="B130" s="831"/>
      <c r="C130" s="408" t="s">
        <v>0</v>
      </c>
      <c r="D130" s="409" t="s">
        <v>14</v>
      </c>
      <c r="E130" s="814"/>
      <c r="F130" s="791" t="s">
        <v>13</v>
      </c>
      <c r="G130" s="793" t="str">
        <f>G5</f>
        <v>środki zewnętrzne (zł)</v>
      </c>
    </row>
    <row r="131" spans="1:7" ht="18" customHeight="1" thickBot="1">
      <c r="A131" s="780"/>
      <c r="B131" s="832"/>
      <c r="C131" s="410"/>
      <c r="D131" s="411" t="s">
        <v>15</v>
      </c>
      <c r="E131" s="815"/>
      <c r="F131" s="840"/>
      <c r="G131" s="841"/>
    </row>
    <row r="132" spans="1:17" ht="28.5" customHeight="1" thickBot="1">
      <c r="A132" s="186" t="s">
        <v>21</v>
      </c>
      <c r="B132" s="426"/>
      <c r="C132" s="427">
        <v>23200</v>
      </c>
      <c r="D132" s="517">
        <v>23200</v>
      </c>
      <c r="E132" s="550">
        <f aca="true" t="shared" si="7" ref="E132:E148">SUM(F132:G132)</f>
        <v>58520.85</v>
      </c>
      <c r="F132" s="551">
        <f>SUM(F133:F142)</f>
        <v>58520.85</v>
      </c>
      <c r="G132" s="552">
        <f>SUM(G133:G141)</f>
        <v>0</v>
      </c>
      <c r="K132" s="307"/>
      <c r="L132" s="307"/>
      <c r="M132" s="308"/>
      <c r="N132" s="308"/>
      <c r="O132" s="309"/>
      <c r="P132" s="310"/>
      <c r="Q132" s="310"/>
    </row>
    <row r="133" spans="1:7" ht="25.5">
      <c r="A133" s="188" t="s">
        <v>22</v>
      </c>
      <c r="B133" s="346" t="s">
        <v>142</v>
      </c>
      <c r="C133" s="347">
        <v>1500</v>
      </c>
      <c r="D133" s="348">
        <v>1500</v>
      </c>
      <c r="E133" s="349">
        <f t="shared" si="7"/>
        <v>0</v>
      </c>
      <c r="F133" s="350">
        <f>75000-20000-55000</f>
        <v>0</v>
      </c>
      <c r="G133" s="351">
        <v>0</v>
      </c>
    </row>
    <row r="134" spans="1:8" ht="17.25" customHeight="1" thickBot="1">
      <c r="A134" s="236"/>
      <c r="B134" s="557" t="s">
        <v>155</v>
      </c>
      <c r="C134" s="558"/>
      <c r="D134" s="559"/>
      <c r="E134" s="556">
        <f t="shared" si="7"/>
        <v>35000</v>
      </c>
      <c r="F134" s="488">
        <v>35000</v>
      </c>
      <c r="G134" s="393">
        <v>0</v>
      </c>
      <c r="H134" s="313" t="s">
        <v>133</v>
      </c>
    </row>
    <row r="135" spans="1:7" ht="15.75" hidden="1" thickBot="1">
      <c r="A135" s="320"/>
      <c r="B135" s="416" t="s">
        <v>88</v>
      </c>
      <c r="C135" s="560"/>
      <c r="D135" s="561"/>
      <c r="E135" s="562">
        <f t="shared" si="7"/>
        <v>0</v>
      </c>
      <c r="F135" s="435">
        <v>0</v>
      </c>
      <c r="G135" s="382">
        <v>0</v>
      </c>
    </row>
    <row r="136" spans="1:8" ht="17.25" customHeight="1" thickBot="1">
      <c r="A136" s="320"/>
      <c r="B136" s="563" t="s">
        <v>158</v>
      </c>
      <c r="C136" s="560">
        <v>1500</v>
      </c>
      <c r="D136" s="561">
        <v>1500</v>
      </c>
      <c r="E136" s="556">
        <f t="shared" si="7"/>
        <v>7500</v>
      </c>
      <c r="F136" s="540">
        <v>7500</v>
      </c>
      <c r="G136" s="382">
        <v>0</v>
      </c>
      <c r="H136" s="313" t="s">
        <v>159</v>
      </c>
    </row>
    <row r="137" spans="1:7" ht="22.5" customHeight="1" hidden="1">
      <c r="A137" s="320"/>
      <c r="B137" s="564" t="s">
        <v>97</v>
      </c>
      <c r="C137" s="560"/>
      <c r="D137" s="561"/>
      <c r="E137" s="556">
        <f t="shared" si="7"/>
        <v>0</v>
      </c>
      <c r="F137" s="540">
        <v>0</v>
      </c>
      <c r="G137" s="382">
        <v>0</v>
      </c>
    </row>
    <row r="138" spans="1:7" ht="17.25" customHeight="1" hidden="1">
      <c r="A138" s="320"/>
      <c r="B138" s="564" t="s">
        <v>93</v>
      </c>
      <c r="C138" s="560"/>
      <c r="D138" s="561"/>
      <c r="E138" s="556">
        <f t="shared" si="7"/>
        <v>0</v>
      </c>
      <c r="F138" s="540">
        <v>0</v>
      </c>
      <c r="G138" s="382">
        <v>0</v>
      </c>
    </row>
    <row r="139" spans="1:7" ht="17.25" customHeight="1" hidden="1">
      <c r="A139" s="320"/>
      <c r="B139" s="565" t="s">
        <v>86</v>
      </c>
      <c r="C139" s="560"/>
      <c r="D139" s="561"/>
      <c r="E139" s="562">
        <f t="shared" si="7"/>
        <v>0</v>
      </c>
      <c r="F139" s="435">
        <v>0</v>
      </c>
      <c r="G139" s="382">
        <v>0</v>
      </c>
    </row>
    <row r="140" spans="1:7" ht="15.75" customHeight="1" hidden="1" thickBot="1">
      <c r="A140" s="320"/>
      <c r="B140" s="416" t="s">
        <v>113</v>
      </c>
      <c r="C140" s="560"/>
      <c r="D140" s="561"/>
      <c r="E140" s="562">
        <f t="shared" si="7"/>
        <v>0</v>
      </c>
      <c r="F140" s="435">
        <v>0</v>
      </c>
      <c r="G140" s="382">
        <v>0</v>
      </c>
    </row>
    <row r="141" spans="1:10" ht="15.75" thickBot="1">
      <c r="A141" s="328"/>
      <c r="B141" s="626" t="s">
        <v>200</v>
      </c>
      <c r="C141" s="625"/>
      <c r="D141" s="624"/>
      <c r="E141" s="623">
        <f t="shared" si="7"/>
        <v>11020.85</v>
      </c>
      <c r="F141" s="622">
        <f>0+11020.85</f>
        <v>11020.85</v>
      </c>
      <c r="G141" s="589">
        <v>0</v>
      </c>
      <c r="H141" s="335"/>
      <c r="J141" s="306"/>
    </row>
    <row r="142" spans="1:10" ht="30" customHeight="1" thickBot="1">
      <c r="A142" s="240" t="s">
        <v>59</v>
      </c>
      <c r="B142" s="570" t="s">
        <v>156</v>
      </c>
      <c r="C142" s="571">
        <v>1500</v>
      </c>
      <c r="D142" s="572">
        <v>1500</v>
      </c>
      <c r="E142" s="573">
        <f t="shared" si="7"/>
        <v>5000</v>
      </c>
      <c r="F142" s="448">
        <v>5000</v>
      </c>
      <c r="G142" s="495">
        <v>0</v>
      </c>
      <c r="H142" s="335" t="s">
        <v>157</v>
      </c>
      <c r="J142" s="306"/>
    </row>
    <row r="143" spans="1:7" ht="18" customHeight="1" thickBot="1">
      <c r="A143" s="241" t="s">
        <v>23</v>
      </c>
      <c r="B143" s="426"/>
      <c r="C143" s="427">
        <v>23200</v>
      </c>
      <c r="D143" s="517">
        <v>23200</v>
      </c>
      <c r="E143" s="472">
        <f t="shared" si="7"/>
        <v>198000</v>
      </c>
      <c r="F143" s="427">
        <f>SUM(F144:F158)</f>
        <v>168000</v>
      </c>
      <c r="G143" s="552">
        <f>SUM(G144:G158)</f>
        <v>30000</v>
      </c>
    </row>
    <row r="144" spans="1:10" ht="15.75" thickBot="1">
      <c r="A144" s="208" t="s">
        <v>24</v>
      </c>
      <c r="B144" s="574" t="s">
        <v>147</v>
      </c>
      <c r="C144" s="558">
        <v>1500</v>
      </c>
      <c r="D144" s="559">
        <v>1500</v>
      </c>
      <c r="E144" s="540">
        <f t="shared" si="7"/>
        <v>33500</v>
      </c>
      <c r="F144" s="488">
        <v>33500</v>
      </c>
      <c r="G144" s="393">
        <v>0</v>
      </c>
      <c r="H144" s="313" t="s">
        <v>148</v>
      </c>
      <c r="J144" s="302"/>
    </row>
    <row r="145" spans="1:10" ht="15.75" thickBot="1">
      <c r="A145" s="236"/>
      <c r="B145" s="621" t="s">
        <v>103</v>
      </c>
      <c r="C145" s="358"/>
      <c r="D145" s="359"/>
      <c r="E145" s="614">
        <f t="shared" si="7"/>
        <v>31000</v>
      </c>
      <c r="F145" s="337">
        <f>14000+17000</f>
        <v>31000</v>
      </c>
      <c r="G145" s="319">
        <v>0</v>
      </c>
      <c r="H145" s="313" t="s">
        <v>151</v>
      </c>
      <c r="J145" s="302"/>
    </row>
    <row r="146" spans="1:10" ht="15.75" thickBot="1">
      <c r="A146" s="320"/>
      <c r="B146" s="395" t="s">
        <v>67</v>
      </c>
      <c r="C146" s="560"/>
      <c r="D146" s="561"/>
      <c r="E146" s="540">
        <f t="shared" si="7"/>
        <v>15000</v>
      </c>
      <c r="F146" s="435">
        <v>15000</v>
      </c>
      <c r="G146" s="382">
        <v>0</v>
      </c>
      <c r="H146" s="356" t="s">
        <v>143</v>
      </c>
      <c r="J146" s="302"/>
    </row>
    <row r="147" spans="1:10" ht="15.75" thickBot="1">
      <c r="A147" s="320"/>
      <c r="B147" s="413" t="s">
        <v>146</v>
      </c>
      <c r="C147" s="560"/>
      <c r="D147" s="561"/>
      <c r="E147" s="540">
        <f t="shared" si="7"/>
        <v>5000</v>
      </c>
      <c r="F147" s="435">
        <v>5000</v>
      </c>
      <c r="G147" s="382">
        <v>0</v>
      </c>
      <c r="H147" s="356" t="s">
        <v>157</v>
      </c>
      <c r="J147" s="302"/>
    </row>
    <row r="148" spans="1:10" ht="30.75" thickBot="1">
      <c r="A148" s="320"/>
      <c r="B148" s="413" t="s">
        <v>95</v>
      </c>
      <c r="C148" s="560"/>
      <c r="D148" s="561"/>
      <c r="E148" s="401">
        <f t="shared" si="7"/>
        <v>90000</v>
      </c>
      <c r="F148" s="435">
        <v>60000</v>
      </c>
      <c r="G148" s="382">
        <f>0+30000</f>
        <v>30000</v>
      </c>
      <c r="H148" s="356" t="s">
        <v>150</v>
      </c>
      <c r="J148" s="302"/>
    </row>
    <row r="149" spans="1:10" ht="12.75" hidden="1">
      <c r="A149" s="707" t="s">
        <v>6</v>
      </c>
      <c r="B149" s="785" t="s">
        <v>7</v>
      </c>
      <c r="C149" s="370" t="s">
        <v>18</v>
      </c>
      <c r="D149" s="371" t="s">
        <v>8</v>
      </c>
      <c r="E149" s="842" t="s">
        <v>96</v>
      </c>
      <c r="F149" s="789" t="s">
        <v>19</v>
      </c>
      <c r="G149" s="790"/>
      <c r="H149" s="356"/>
      <c r="J149" s="302"/>
    </row>
    <row r="150" spans="1:10" ht="12.75" hidden="1">
      <c r="A150" s="708"/>
      <c r="B150" s="786"/>
      <c r="C150" s="372" t="s">
        <v>0</v>
      </c>
      <c r="D150" s="373" t="s">
        <v>14</v>
      </c>
      <c r="E150" s="843"/>
      <c r="F150" s="791" t="s">
        <v>54</v>
      </c>
      <c r="G150" s="793" t="s">
        <v>55</v>
      </c>
      <c r="H150" s="356"/>
      <c r="J150" s="302"/>
    </row>
    <row r="151" spans="1:10" ht="12.75" hidden="1">
      <c r="A151" s="708"/>
      <c r="B151" s="786"/>
      <c r="C151" s="372"/>
      <c r="D151" s="373" t="s">
        <v>15</v>
      </c>
      <c r="E151" s="844"/>
      <c r="F151" s="845"/>
      <c r="G151" s="846"/>
      <c r="H151" s="356"/>
      <c r="J151" s="302"/>
    </row>
    <row r="152" spans="1:10" ht="15.75">
      <c r="A152" s="280"/>
      <c r="B152" s="576" t="s">
        <v>58</v>
      </c>
      <c r="C152" s="538"/>
      <c r="D152" s="539"/>
      <c r="E152" s="540">
        <f aca="true" t="shared" si="8" ref="E152:E158">SUM(F152:G152)</f>
        <v>12000</v>
      </c>
      <c r="F152" s="546">
        <v>12000</v>
      </c>
      <c r="G152" s="393">
        <v>0</v>
      </c>
      <c r="H152" s="356" t="s">
        <v>152</v>
      </c>
      <c r="J152" s="302"/>
    </row>
    <row r="153" spans="1:10" ht="15.75" hidden="1" thickBot="1">
      <c r="A153" s="320"/>
      <c r="B153" s="577" t="s">
        <v>58</v>
      </c>
      <c r="C153" s="560"/>
      <c r="D153" s="561"/>
      <c r="E153" s="401">
        <f t="shared" si="8"/>
        <v>0</v>
      </c>
      <c r="F153" s="435">
        <v>0</v>
      </c>
      <c r="G153" s="382">
        <v>0</v>
      </c>
      <c r="H153" s="356" t="s">
        <v>69</v>
      </c>
      <c r="J153" s="302"/>
    </row>
    <row r="154" spans="1:10" ht="18.75" customHeight="1" thickBot="1">
      <c r="A154" s="320"/>
      <c r="B154" s="575" t="s">
        <v>153</v>
      </c>
      <c r="C154" s="560"/>
      <c r="D154" s="561"/>
      <c r="E154" s="401">
        <f t="shared" si="8"/>
        <v>5500</v>
      </c>
      <c r="F154" s="435">
        <f>5000+500</f>
        <v>5500</v>
      </c>
      <c r="G154" s="382">
        <v>0</v>
      </c>
      <c r="H154" s="356" t="s">
        <v>154</v>
      </c>
      <c r="J154" s="302"/>
    </row>
    <row r="155" spans="1:10" ht="15.75" hidden="1" thickBot="1">
      <c r="A155" s="320"/>
      <c r="B155" s="577" t="s">
        <v>94</v>
      </c>
      <c r="C155" s="560"/>
      <c r="D155" s="561"/>
      <c r="E155" s="401">
        <f t="shared" si="8"/>
        <v>0</v>
      </c>
      <c r="F155" s="435">
        <v>0</v>
      </c>
      <c r="G155" s="382">
        <v>0</v>
      </c>
      <c r="J155" s="302"/>
    </row>
    <row r="156" spans="1:10" ht="31.5" customHeight="1" hidden="1">
      <c r="A156" s="320"/>
      <c r="B156" s="577" t="s">
        <v>102</v>
      </c>
      <c r="C156" s="560"/>
      <c r="D156" s="561"/>
      <c r="E156" s="401">
        <f t="shared" si="8"/>
        <v>0</v>
      </c>
      <c r="F156" s="435">
        <v>0</v>
      </c>
      <c r="G156" s="382">
        <v>0</v>
      </c>
      <c r="J156" s="302"/>
    </row>
    <row r="157" spans="1:10" ht="18" customHeight="1" thickBot="1">
      <c r="A157" s="328"/>
      <c r="B157" s="578" t="s">
        <v>73</v>
      </c>
      <c r="C157" s="560"/>
      <c r="D157" s="561"/>
      <c r="E157" s="449">
        <f t="shared" si="8"/>
        <v>6000</v>
      </c>
      <c r="F157" s="448">
        <v>6000</v>
      </c>
      <c r="G157" s="495">
        <v>0</v>
      </c>
      <c r="H157" s="313" t="s">
        <v>161</v>
      </c>
      <c r="J157" s="302"/>
    </row>
    <row r="158" spans="1:9" s="302" customFormat="1" ht="13.5" hidden="1" thickBot="1">
      <c r="A158" s="328"/>
      <c r="B158" s="579" t="s">
        <v>28</v>
      </c>
      <c r="C158" s="580">
        <v>1500</v>
      </c>
      <c r="D158" s="581">
        <v>1500</v>
      </c>
      <c r="E158" s="582">
        <f t="shared" si="8"/>
        <v>0</v>
      </c>
      <c r="F158" s="583">
        <v>0</v>
      </c>
      <c r="G158" s="584">
        <v>0</v>
      </c>
      <c r="H158" s="312"/>
      <c r="I158" s="312"/>
    </row>
    <row r="159" spans="1:9" s="302" customFormat="1" ht="5.25" customHeight="1">
      <c r="A159" s="311"/>
      <c r="B159" s="451"/>
      <c r="C159" s="365"/>
      <c r="D159" s="366"/>
      <c r="E159" s="366"/>
      <c r="F159" s="365"/>
      <c r="G159" s="365"/>
      <c r="H159" s="312"/>
      <c r="I159" s="312"/>
    </row>
    <row r="160" spans="1:9" s="302" customFormat="1" ht="16.5" thickBot="1">
      <c r="A160" s="746" t="s">
        <v>17</v>
      </c>
      <c r="B160" s="746"/>
      <c r="C160" s="585"/>
      <c r="D160" s="508"/>
      <c r="E160" s="363">
        <f>SUM(E112+E97+E90+E81+E49+E7+E132+E143+E87+E103+E110+E78)</f>
        <v>5586897.85</v>
      </c>
      <c r="F160" s="363">
        <f>SUM(F112+F97+F90+F81+F49+F7+F132+F143+F87+F103+F110+F78)</f>
        <v>4756897.85</v>
      </c>
      <c r="G160" s="363">
        <f>SUM(G112+G97+G90+G81+G49+G7+G132+G143+G87+G103)</f>
        <v>830000</v>
      </c>
      <c r="H160" s="312"/>
      <c r="I160" s="312"/>
    </row>
    <row r="161" spans="3:9" s="303" customFormat="1" ht="13.5" thickTop="1">
      <c r="C161" s="365"/>
      <c r="D161" s="366" t="s">
        <v>16</v>
      </c>
      <c r="E161" s="366"/>
      <c r="F161" s="365"/>
      <c r="G161" s="365"/>
      <c r="H161" s="313"/>
      <c r="I161" s="313"/>
    </row>
    <row r="162" spans="3:9" s="303" customFormat="1" ht="15">
      <c r="C162" s="586"/>
      <c r="D162" s="366"/>
      <c r="E162" s="366"/>
      <c r="F162" s="365" t="s">
        <v>188</v>
      </c>
      <c r="G162" s="365"/>
      <c r="H162" s="313"/>
      <c r="I162" s="313"/>
    </row>
    <row r="163" spans="3:9" s="303" customFormat="1" ht="12.75">
      <c r="C163" s="365"/>
      <c r="D163" s="366"/>
      <c r="E163" s="365"/>
      <c r="F163" s="365" t="s">
        <v>189</v>
      </c>
      <c r="G163" s="365">
        <f>G77</f>
        <v>800000</v>
      </c>
      <c r="H163" s="313"/>
      <c r="I163" s="313"/>
    </row>
    <row r="164" spans="3:9" s="303" customFormat="1" ht="12.75">
      <c r="C164" s="365"/>
      <c r="D164" s="366"/>
      <c r="E164" s="365"/>
      <c r="F164" s="365" t="s">
        <v>187</v>
      </c>
      <c r="G164" s="365">
        <f>G148</f>
        <v>30000</v>
      </c>
      <c r="H164" s="313"/>
      <c r="I164" s="313"/>
    </row>
    <row r="166" spans="3:10" s="303" customFormat="1" ht="12.75">
      <c r="C166" s="365"/>
      <c r="D166" s="366"/>
      <c r="E166" s="366"/>
      <c r="F166" s="365"/>
      <c r="G166" s="365"/>
      <c r="H166" s="313"/>
      <c r="I166" s="313"/>
      <c r="J166" s="303" t="s">
        <v>39</v>
      </c>
    </row>
    <row r="167" spans="3:10" s="303" customFormat="1" ht="12.75">
      <c r="C167" s="365"/>
      <c r="D167" s="366"/>
      <c r="E167" s="366"/>
      <c r="F167" s="365"/>
      <c r="G167" s="587">
        <f>SUM(F160:G160)</f>
        <v>5586897.85</v>
      </c>
      <c r="H167" s="313"/>
      <c r="I167" s="313"/>
      <c r="J167" s="302">
        <f>SUM(G167)-E160</f>
        <v>0</v>
      </c>
    </row>
  </sheetData>
  <sheetProtection/>
  <mergeCells count="50">
    <mergeCell ref="E2:G2"/>
    <mergeCell ref="A4:A6"/>
    <mergeCell ref="B4:B6"/>
    <mergeCell ref="E4:E6"/>
    <mergeCell ref="F4:G4"/>
    <mergeCell ref="F5:F6"/>
    <mergeCell ref="G5:G6"/>
    <mergeCell ref="B10:B13"/>
    <mergeCell ref="E10:E13"/>
    <mergeCell ref="F10:F13"/>
    <mergeCell ref="B18:B19"/>
    <mergeCell ref="E18:E19"/>
    <mergeCell ref="F18:F19"/>
    <mergeCell ref="A34:A36"/>
    <mergeCell ref="B34:B36"/>
    <mergeCell ref="E34:E36"/>
    <mergeCell ref="F34:G34"/>
    <mergeCell ref="F35:F36"/>
    <mergeCell ref="G35:G36"/>
    <mergeCell ref="A67:A69"/>
    <mergeCell ref="B67:B69"/>
    <mergeCell ref="E67:E69"/>
    <mergeCell ref="F67:G67"/>
    <mergeCell ref="F68:F69"/>
    <mergeCell ref="G68:G69"/>
    <mergeCell ref="A93:A95"/>
    <mergeCell ref="B93:B95"/>
    <mergeCell ref="E93:E95"/>
    <mergeCell ref="F93:G93"/>
    <mergeCell ref="F94:F95"/>
    <mergeCell ref="G94:G95"/>
    <mergeCell ref="A115:A117"/>
    <mergeCell ref="B115:B117"/>
    <mergeCell ref="E115:E117"/>
    <mergeCell ref="F115:G115"/>
    <mergeCell ref="F116:F117"/>
    <mergeCell ref="G116:G117"/>
    <mergeCell ref="A129:A131"/>
    <mergeCell ref="B129:B131"/>
    <mergeCell ref="E129:E131"/>
    <mergeCell ref="F129:G129"/>
    <mergeCell ref="F130:F131"/>
    <mergeCell ref="G130:G131"/>
    <mergeCell ref="A160:B160"/>
    <mergeCell ref="A149:A151"/>
    <mergeCell ref="B149:B151"/>
    <mergeCell ref="E149:E151"/>
    <mergeCell ref="F149:G149"/>
    <mergeCell ref="F150:F151"/>
    <mergeCell ref="G150:G151"/>
  </mergeCells>
  <conditionalFormatting sqref="I1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{3e20de1a-bbe9-4f3d-a9cb-4455dbd4ac56}</x14:id>
        </ext>
      </extLst>
    </cfRule>
  </conditionalFormatting>
  <conditionalFormatting sqref="A7:A4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{9a1b445d-79a3-4ef8-ad1f-8873e9a5e442}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70" r:id="rId1"/>
  <rowBreaks count="1" manualBreakCount="1">
    <brk id="88" max="6" man="1"/>
  </rowBreaks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20de1a-bbe9-4f3d-a9cb-4455dbd4ac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</xm:sqref>
        </x14:conditionalFormatting>
        <x14:conditionalFormatting xmlns:xm="http://schemas.microsoft.com/office/excel/2006/main">
          <x14:cfRule type="dataBar" id="{9a1b445d-79a3-4ef8-ad1f-8873e9a5e4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134">
      <selection activeCell="B7" sqref="B7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G1" s="367" t="s">
        <v>203</v>
      </c>
    </row>
    <row r="2" spans="1:7" ht="18">
      <c r="A2" s="284"/>
      <c r="B2" s="364" t="s">
        <v>167</v>
      </c>
      <c r="E2" s="783" t="s">
        <v>204</v>
      </c>
      <c r="F2" s="784"/>
      <c r="G2" s="784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SUM(E8:E48)</f>
        <v>602610</v>
      </c>
      <c r="F7" s="377">
        <f>SUM(F8:F48)</f>
        <v>602610</v>
      </c>
      <c r="G7" s="377">
        <f>SUM(G8:G47)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305" customFormat="1" ht="20.25" customHeight="1">
      <c r="A15" s="320"/>
      <c r="B15" s="383" t="s">
        <v>126</v>
      </c>
      <c r="C15" s="379"/>
      <c r="D15" s="384"/>
      <c r="E15" s="381">
        <f>SUM(F15:G15)</f>
        <v>65000</v>
      </c>
      <c r="F15" s="382">
        <v>65000</v>
      </c>
      <c r="G15" s="393">
        <v>0</v>
      </c>
      <c r="H15" s="207"/>
      <c r="I15" s="200"/>
    </row>
    <row r="16" spans="1:9" s="305" customFormat="1" ht="20.25" customHeight="1">
      <c r="A16" s="320"/>
      <c r="B16" s="383" t="s">
        <v>127</v>
      </c>
      <c r="C16" s="379"/>
      <c r="D16" s="380"/>
      <c r="E16" s="381">
        <f>SUM(F16:G16)</f>
        <v>334000</v>
      </c>
      <c r="F16" s="382">
        <f>100000-1700-1700+300000-20000-40000-10000+7400</f>
        <v>334000</v>
      </c>
      <c r="G16" s="382">
        <f>300000-300000</f>
        <v>0</v>
      </c>
      <c r="H16" s="207"/>
      <c r="I16" s="200"/>
    </row>
    <row r="17" spans="1:9" s="305" customFormat="1" ht="16.5" customHeight="1" hidden="1">
      <c r="A17" s="320"/>
      <c r="B17" s="378" t="s">
        <v>79</v>
      </c>
      <c r="C17" s="379"/>
      <c r="D17" s="384"/>
      <c r="E17" s="381">
        <f>SUM(F17:G17)</f>
        <v>0</v>
      </c>
      <c r="F17" s="382">
        <v>0</v>
      </c>
      <c r="G17" s="382">
        <v>0</v>
      </c>
      <c r="H17" s="207"/>
      <c r="I17" s="200"/>
    </row>
    <row r="18" spans="1:9" s="305" customFormat="1" ht="11.25" customHeight="1" hidden="1">
      <c r="A18" s="320"/>
      <c r="B18" s="847" t="s">
        <v>80</v>
      </c>
      <c r="C18" s="379"/>
      <c r="D18" s="384"/>
      <c r="E18" s="849">
        <f>SUM(F18:G18)</f>
        <v>0</v>
      </c>
      <c r="F18" s="851">
        <v>0</v>
      </c>
      <c r="G18" s="387">
        <v>0</v>
      </c>
      <c r="H18" s="207"/>
      <c r="I18" s="200"/>
    </row>
    <row r="19" spans="1:9" s="305" customFormat="1" ht="10.5" customHeight="1" hidden="1">
      <c r="A19" s="320"/>
      <c r="B19" s="848"/>
      <c r="C19" s="379"/>
      <c r="D19" s="384"/>
      <c r="E19" s="850"/>
      <c r="F19" s="852"/>
      <c r="G19" s="392"/>
      <c r="H19" s="207"/>
      <c r="I19" s="200"/>
    </row>
    <row r="20" spans="1:9" s="305" customFormat="1" ht="16.5" customHeight="1" hidden="1">
      <c r="A20" s="320"/>
      <c r="B20" s="394" t="s">
        <v>74</v>
      </c>
      <c r="C20" s="379"/>
      <c r="D20" s="384"/>
      <c r="E20" s="381">
        <f aca="true" t="shared" si="0" ref="E20:E30">SUM(F20:G20)</f>
        <v>0</v>
      </c>
      <c r="F20" s="382">
        <v>0</v>
      </c>
      <c r="G20" s="393">
        <v>0</v>
      </c>
      <c r="H20" s="207"/>
      <c r="I20" s="200"/>
    </row>
    <row r="21" spans="1:9" s="305" customFormat="1" ht="14.25" customHeight="1" hidden="1">
      <c r="A21" s="323"/>
      <c r="B21" s="604" t="s">
        <v>75</v>
      </c>
      <c r="C21" s="379"/>
      <c r="D21" s="384"/>
      <c r="E21" s="381">
        <f t="shared" si="0"/>
        <v>0</v>
      </c>
      <c r="F21" s="382">
        <v>0</v>
      </c>
      <c r="G21" s="382">
        <v>0</v>
      </c>
      <c r="H21" s="207"/>
      <c r="I21" s="200"/>
    </row>
    <row r="22" spans="1:9" s="305" customFormat="1" ht="16.5" customHeight="1" hidden="1">
      <c r="A22" s="323"/>
      <c r="B22" s="605" t="s">
        <v>81</v>
      </c>
      <c r="C22" s="379">
        <v>30000</v>
      </c>
      <c r="D22" s="380">
        <v>30000</v>
      </c>
      <c r="E22" s="381">
        <f t="shared" si="0"/>
        <v>0</v>
      </c>
      <c r="F22" s="382">
        <v>0</v>
      </c>
      <c r="G22" s="382">
        <v>0</v>
      </c>
      <c r="H22" s="207"/>
      <c r="I22" s="200"/>
    </row>
    <row r="23" spans="1:9" s="305" customFormat="1" ht="19.5" customHeight="1" hidden="1">
      <c r="A23" s="323"/>
      <c r="B23" s="395" t="s">
        <v>104</v>
      </c>
      <c r="C23" s="379">
        <v>83000</v>
      </c>
      <c r="D23" s="380">
        <v>83000</v>
      </c>
      <c r="E23" s="381">
        <f t="shared" si="0"/>
        <v>0</v>
      </c>
      <c r="F23" s="382">
        <v>0</v>
      </c>
      <c r="G23" s="382">
        <v>0</v>
      </c>
      <c r="H23" s="207"/>
      <c r="I23" s="200"/>
    </row>
    <row r="24" spans="1:9" s="305" customFormat="1" ht="16.5" customHeight="1" hidden="1">
      <c r="A24" s="323"/>
      <c r="B24" s="395" t="s">
        <v>76</v>
      </c>
      <c r="C24" s="379"/>
      <c r="D24" s="380"/>
      <c r="E24" s="381">
        <f t="shared" si="0"/>
        <v>0</v>
      </c>
      <c r="F24" s="379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606" t="s">
        <v>77</v>
      </c>
      <c r="C25" s="396"/>
      <c r="D25" s="607"/>
      <c r="E25" s="381">
        <f t="shared" si="0"/>
        <v>0</v>
      </c>
      <c r="F25" s="396">
        <v>0</v>
      </c>
      <c r="G25" s="387">
        <v>0</v>
      </c>
      <c r="H25" s="207"/>
      <c r="I25" s="200"/>
    </row>
    <row r="26" spans="1:9" s="305" customFormat="1" ht="15" hidden="1">
      <c r="A26" s="323"/>
      <c r="B26" s="395" t="s">
        <v>82</v>
      </c>
      <c r="C26" s="379"/>
      <c r="D26" s="380"/>
      <c r="E26" s="381">
        <f t="shared" si="0"/>
        <v>0</v>
      </c>
      <c r="F26" s="379">
        <v>0</v>
      </c>
      <c r="G26" s="382">
        <v>0</v>
      </c>
      <c r="H26" s="207"/>
      <c r="I26" s="200"/>
    </row>
    <row r="27" spans="1:9" s="305" customFormat="1" ht="27.75" customHeight="1" hidden="1">
      <c r="A27" s="323"/>
      <c r="B27" s="395" t="s">
        <v>50</v>
      </c>
      <c r="C27" s="397">
        <v>1000</v>
      </c>
      <c r="D27" s="398">
        <v>1000</v>
      </c>
      <c r="E27" s="399">
        <f t="shared" si="0"/>
        <v>0</v>
      </c>
      <c r="F27" s="397">
        <v>0</v>
      </c>
      <c r="G27" s="393"/>
      <c r="H27" s="207"/>
      <c r="I27" s="200"/>
    </row>
    <row r="28" spans="1:9" s="305" customFormat="1" ht="16.5" customHeight="1" hidden="1">
      <c r="A28" s="323"/>
      <c r="B28" s="395" t="s">
        <v>78</v>
      </c>
      <c r="C28" s="379"/>
      <c r="D28" s="380"/>
      <c r="E28" s="381">
        <f t="shared" si="0"/>
        <v>0</v>
      </c>
      <c r="F28" s="379">
        <v>0</v>
      </c>
      <c r="G28" s="382">
        <v>0</v>
      </c>
      <c r="H28" s="207"/>
      <c r="I28" s="200"/>
    </row>
    <row r="29" spans="1:7" ht="15.75" customHeight="1" hidden="1">
      <c r="A29" s="323"/>
      <c r="B29" s="608" t="s">
        <v>45</v>
      </c>
      <c r="C29" s="396"/>
      <c r="D29" s="607"/>
      <c r="E29" s="400">
        <f t="shared" si="0"/>
        <v>0</v>
      </c>
      <c r="F29" s="396">
        <v>0</v>
      </c>
      <c r="G29" s="387">
        <v>0</v>
      </c>
    </row>
    <row r="30" spans="1:7" ht="20.25" customHeight="1">
      <c r="A30" s="323"/>
      <c r="B30" s="609" t="s">
        <v>57</v>
      </c>
      <c r="C30" s="610"/>
      <c r="D30" s="610"/>
      <c r="E30" s="401">
        <f t="shared" si="0"/>
        <v>41054</v>
      </c>
      <c r="F30" s="610">
        <f>50000-1546-7400</f>
        <v>41054</v>
      </c>
      <c r="G30" s="382">
        <v>0</v>
      </c>
    </row>
    <row r="31" spans="1:7" ht="15" hidden="1">
      <c r="A31" s="323"/>
      <c r="B31" s="402"/>
      <c r="C31" s="403"/>
      <c r="D31" s="403"/>
      <c r="E31" s="404"/>
      <c r="F31" s="403"/>
      <c r="G31" s="405"/>
    </row>
    <row r="32" spans="1:7" ht="18" customHeight="1" hidden="1">
      <c r="A32" s="323"/>
      <c r="B32" s="402"/>
      <c r="C32" s="403"/>
      <c r="D32" s="403"/>
      <c r="E32" s="404"/>
      <c r="F32" s="403"/>
      <c r="G32" s="405"/>
    </row>
    <row r="33" spans="1:7" s="313" customFormat="1" ht="15" hidden="1">
      <c r="A33" s="323"/>
      <c r="B33" s="402"/>
      <c r="C33" s="403"/>
      <c r="D33" s="403"/>
      <c r="E33" s="404"/>
      <c r="F33" s="403"/>
      <c r="G33" s="405"/>
    </row>
    <row r="34" spans="1:7" s="313" customFormat="1" ht="12.75" customHeight="1" hidden="1">
      <c r="A34" s="747" t="s">
        <v>6</v>
      </c>
      <c r="B34" s="810" t="s">
        <v>7</v>
      </c>
      <c r="C34" s="406" t="s">
        <v>18</v>
      </c>
      <c r="D34" s="407" t="s">
        <v>8</v>
      </c>
      <c r="E34" s="813" t="s">
        <v>5</v>
      </c>
      <c r="F34" s="816" t="s">
        <v>19</v>
      </c>
      <c r="G34" s="817"/>
    </row>
    <row r="35" spans="1:7" s="313" customFormat="1" ht="15.75" hidden="1">
      <c r="A35" s="777"/>
      <c r="B35" s="811"/>
      <c r="C35" s="408" t="s">
        <v>0</v>
      </c>
      <c r="D35" s="409" t="s">
        <v>14</v>
      </c>
      <c r="E35" s="814"/>
      <c r="F35" s="818" t="s">
        <v>13</v>
      </c>
      <c r="G35" s="820" t="s">
        <v>20</v>
      </c>
    </row>
    <row r="36" spans="1:7" s="313" customFormat="1" ht="16.5" hidden="1" thickBot="1">
      <c r="A36" s="777"/>
      <c r="B36" s="812"/>
      <c r="C36" s="410"/>
      <c r="D36" s="411" t="s">
        <v>15</v>
      </c>
      <c r="E36" s="815"/>
      <c r="F36" s="819"/>
      <c r="G36" s="821"/>
    </row>
    <row r="37" spans="1:7" s="313" customFormat="1" ht="15">
      <c r="A37" s="325"/>
      <c r="B37" s="412" t="s">
        <v>128</v>
      </c>
      <c r="C37" s="379"/>
      <c r="D37" s="380"/>
      <c r="E37" s="381">
        <f aca="true" t="shared" si="1" ref="E37:E44">SUM(F37:G37)</f>
        <v>66900</v>
      </c>
      <c r="F37" s="379">
        <v>66900</v>
      </c>
      <c r="G37" s="382">
        <v>0</v>
      </c>
    </row>
    <row r="38" spans="1:7" s="313" customFormat="1" ht="19.5" customHeight="1">
      <c r="A38" s="323"/>
      <c r="B38" s="412" t="s">
        <v>175</v>
      </c>
      <c r="C38" s="379"/>
      <c r="D38" s="380"/>
      <c r="E38" s="381">
        <f t="shared" si="1"/>
        <v>14056</v>
      </c>
      <c r="F38" s="379">
        <f>12510+1546</f>
        <v>14056</v>
      </c>
      <c r="G38" s="382">
        <v>0</v>
      </c>
    </row>
    <row r="39" spans="1:7" s="313" customFormat="1" ht="15" customHeight="1" hidden="1">
      <c r="A39" s="323"/>
      <c r="B39" s="412" t="s">
        <v>83</v>
      </c>
      <c r="C39" s="379"/>
      <c r="D39" s="380"/>
      <c r="E39" s="381">
        <f t="shared" si="1"/>
        <v>0</v>
      </c>
      <c r="F39" s="379">
        <v>0</v>
      </c>
      <c r="G39" s="382">
        <v>0</v>
      </c>
    </row>
    <row r="40" spans="1:7" s="313" customFormat="1" ht="15" customHeight="1" hidden="1">
      <c r="A40" s="323"/>
      <c r="B40" s="413" t="s">
        <v>84</v>
      </c>
      <c r="C40" s="379"/>
      <c r="D40" s="380"/>
      <c r="E40" s="381">
        <f t="shared" si="1"/>
        <v>0</v>
      </c>
      <c r="F40" s="379">
        <v>0</v>
      </c>
      <c r="G40" s="382"/>
    </row>
    <row r="41" spans="1:7" s="313" customFormat="1" ht="15.75" customHeight="1" hidden="1">
      <c r="A41" s="326"/>
      <c r="B41" s="414" t="s">
        <v>98</v>
      </c>
      <c r="C41" s="379">
        <v>44900</v>
      </c>
      <c r="D41" s="380">
        <v>44900</v>
      </c>
      <c r="E41" s="381">
        <f t="shared" si="1"/>
        <v>0</v>
      </c>
      <c r="F41" s="379">
        <v>0</v>
      </c>
      <c r="G41" s="382">
        <v>0</v>
      </c>
    </row>
    <row r="42" spans="1:7" s="313" customFormat="1" ht="13.5" customHeight="1" hidden="1">
      <c r="A42" s="320"/>
      <c r="B42" s="415" t="s">
        <v>1</v>
      </c>
      <c r="C42" s="379"/>
      <c r="D42" s="380"/>
      <c r="E42" s="381">
        <f t="shared" si="1"/>
        <v>0</v>
      </c>
      <c r="F42" s="379">
        <v>0</v>
      </c>
      <c r="G42" s="382">
        <v>0</v>
      </c>
    </row>
    <row r="43" spans="1:7" s="313" customFormat="1" ht="13.5" customHeight="1" hidden="1">
      <c r="A43" s="327"/>
      <c r="B43" s="416" t="s">
        <v>2</v>
      </c>
      <c r="C43" s="379"/>
      <c r="D43" s="380"/>
      <c r="E43" s="400">
        <f t="shared" si="1"/>
        <v>0</v>
      </c>
      <c r="F43" s="396">
        <v>0</v>
      </c>
      <c r="G43" s="387"/>
    </row>
    <row r="44" spans="1:8" s="313" customFormat="1" ht="15" customHeight="1" hidden="1">
      <c r="A44" s="215" t="s">
        <v>43</v>
      </c>
      <c r="B44" s="417" t="s">
        <v>71</v>
      </c>
      <c r="C44" s="403"/>
      <c r="D44" s="418"/>
      <c r="E44" s="381">
        <f t="shared" si="1"/>
        <v>0</v>
      </c>
      <c r="F44" s="379">
        <v>0</v>
      </c>
      <c r="G44" s="419">
        <v>0</v>
      </c>
      <c r="H44" s="313" t="s">
        <v>72</v>
      </c>
    </row>
    <row r="45" spans="1:7" s="313" customFormat="1" ht="16.5" customHeight="1" hidden="1">
      <c r="A45" s="320"/>
      <c r="B45" s="420"/>
      <c r="C45" s="403"/>
      <c r="D45" s="418"/>
      <c r="E45" s="418"/>
      <c r="F45" s="403"/>
      <c r="G45" s="405"/>
    </row>
    <row r="46" spans="1:7" s="313" customFormat="1" ht="15.75" customHeight="1" hidden="1">
      <c r="A46" s="328"/>
      <c r="B46" s="421" t="s">
        <v>51</v>
      </c>
      <c r="C46" s="403"/>
      <c r="D46" s="418"/>
      <c r="E46" s="422">
        <f>SUM(F46:G46)</f>
        <v>0</v>
      </c>
      <c r="F46" s="423">
        <v>0</v>
      </c>
      <c r="G46" s="424">
        <v>0</v>
      </c>
    </row>
    <row r="47" spans="1:7" s="313" customFormat="1" ht="15.75" customHeight="1" hidden="1">
      <c r="A47" s="328"/>
      <c r="B47" s="421" t="s">
        <v>52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s="313" customFormat="1" ht="15.75" thickBot="1">
      <c r="A48" s="328"/>
      <c r="B48" s="425" t="s">
        <v>176</v>
      </c>
      <c r="C48" s="403"/>
      <c r="D48" s="418"/>
      <c r="E48" s="381">
        <f>SUM(F48:G48)</f>
        <v>34000</v>
      </c>
      <c r="F48" s="379">
        <v>34000</v>
      </c>
      <c r="G48" s="382">
        <v>0</v>
      </c>
    </row>
    <row r="49" spans="1:7" s="313" customFormat="1" ht="18" customHeight="1" thickBot="1">
      <c r="A49" s="186" t="s">
        <v>11</v>
      </c>
      <c r="B49" s="426"/>
      <c r="C49" s="427"/>
      <c r="D49" s="428"/>
      <c r="E49" s="429">
        <f>SUM(E50:E70)+E72+E77</f>
        <v>2380438</v>
      </c>
      <c r="F49" s="429">
        <f>SUM(F50:F70)+F72+F77</f>
        <v>1580438</v>
      </c>
      <c r="G49" s="429">
        <f>SUM(G50:G70)+G72+G77</f>
        <v>800000</v>
      </c>
    </row>
    <row r="50" spans="1:7" s="313" customFormat="1" ht="32.25" customHeight="1">
      <c r="A50" s="181" t="s">
        <v>3</v>
      </c>
      <c r="B50" s="430" t="s">
        <v>114</v>
      </c>
      <c r="C50" s="397"/>
      <c r="D50" s="431"/>
      <c r="E50" s="432">
        <f aca="true" t="shared" si="2" ref="E50:E66">SUM(F50:G50)</f>
        <v>500000</v>
      </c>
      <c r="F50" s="432">
        <f>0+500000</f>
        <v>500000</v>
      </c>
      <c r="G50" s="433">
        <f>500000-500000</f>
        <v>0</v>
      </c>
    </row>
    <row r="51" spans="1:7" s="313" customFormat="1" ht="33.75" customHeight="1">
      <c r="A51" s="217"/>
      <c r="B51" s="434" t="s">
        <v>168</v>
      </c>
      <c r="C51" s="435"/>
      <c r="D51" s="435"/>
      <c r="E51" s="401">
        <f t="shared" si="2"/>
        <v>10488</v>
      </c>
      <c r="F51" s="435">
        <v>10488</v>
      </c>
      <c r="G51" s="382">
        <v>0</v>
      </c>
    </row>
    <row r="52" spans="1:7" s="313" customFormat="1" ht="32.25" customHeight="1" thickBot="1">
      <c r="A52" s="218"/>
      <c r="B52" s="436" t="s">
        <v>184</v>
      </c>
      <c r="C52" s="437">
        <v>15000</v>
      </c>
      <c r="D52" s="438">
        <v>15000</v>
      </c>
      <c r="E52" s="439">
        <f t="shared" si="2"/>
        <v>50000</v>
      </c>
      <c r="F52" s="439">
        <v>50000</v>
      </c>
      <c r="G52" s="440">
        <v>0</v>
      </c>
    </row>
    <row r="53" spans="1:8" s="313" customFormat="1" ht="15.75" customHeight="1">
      <c r="A53" s="219" t="s">
        <v>44</v>
      </c>
      <c r="B53" s="441" t="s">
        <v>129</v>
      </c>
      <c r="C53" s="397">
        <v>15000</v>
      </c>
      <c r="D53" s="398">
        <v>15000</v>
      </c>
      <c r="E53" s="399">
        <f t="shared" si="2"/>
        <v>50000</v>
      </c>
      <c r="F53" s="442">
        <v>50000</v>
      </c>
      <c r="G53" s="443">
        <v>0</v>
      </c>
      <c r="H53" s="335"/>
    </row>
    <row r="54" spans="1:8" s="313" customFormat="1" ht="15" customHeight="1">
      <c r="A54" s="221"/>
      <c r="B54" s="413" t="s">
        <v>130</v>
      </c>
      <c r="C54" s="379"/>
      <c r="D54" s="380"/>
      <c r="E54" s="381">
        <f t="shared" si="2"/>
        <v>10000</v>
      </c>
      <c r="F54" s="444">
        <v>10000</v>
      </c>
      <c r="G54" s="445">
        <v>0</v>
      </c>
      <c r="H54" s="313" t="s">
        <v>131</v>
      </c>
    </row>
    <row r="55" spans="1:8" s="313" customFormat="1" ht="16.5" customHeight="1">
      <c r="A55" s="222"/>
      <c r="B55" s="394" t="s">
        <v>132</v>
      </c>
      <c r="C55" s="379"/>
      <c r="D55" s="380"/>
      <c r="E55" s="381">
        <f t="shared" si="2"/>
        <v>40000</v>
      </c>
      <c r="F55" s="444">
        <v>40000</v>
      </c>
      <c r="G55" s="445">
        <v>0</v>
      </c>
      <c r="H55" s="313" t="s">
        <v>133</v>
      </c>
    </row>
    <row r="56" spans="1:8" s="313" customFormat="1" ht="18" customHeight="1">
      <c r="A56" s="222"/>
      <c r="B56" s="394" t="s">
        <v>68</v>
      </c>
      <c r="C56" s="379"/>
      <c r="D56" s="380"/>
      <c r="E56" s="381">
        <f t="shared" si="2"/>
        <v>14000</v>
      </c>
      <c r="F56" s="444">
        <v>14000</v>
      </c>
      <c r="G56" s="445">
        <v>0</v>
      </c>
      <c r="H56" s="313" t="s">
        <v>134</v>
      </c>
    </row>
    <row r="57" spans="1:8" s="313" customFormat="1" ht="16.5" customHeight="1">
      <c r="A57" s="222"/>
      <c r="B57" s="378" t="s">
        <v>149</v>
      </c>
      <c r="C57" s="435"/>
      <c r="D57" s="435"/>
      <c r="E57" s="401">
        <f t="shared" si="2"/>
        <v>66000</v>
      </c>
      <c r="F57" s="435">
        <v>66000</v>
      </c>
      <c r="G57" s="382">
        <v>0</v>
      </c>
      <c r="H57" s="313" t="s">
        <v>135</v>
      </c>
    </row>
    <row r="58" spans="1:7" s="313" customFormat="1" ht="18" customHeight="1">
      <c r="A58" s="223"/>
      <c r="B58" s="434" t="s">
        <v>123</v>
      </c>
      <c r="C58" s="435"/>
      <c r="D58" s="435"/>
      <c r="E58" s="401">
        <f t="shared" si="2"/>
        <v>25000</v>
      </c>
      <c r="F58" s="435">
        <v>25000</v>
      </c>
      <c r="G58" s="382">
        <v>0</v>
      </c>
    </row>
    <row r="59" spans="1:7" s="313" customFormat="1" ht="16.5" customHeight="1">
      <c r="A59" s="223"/>
      <c r="B59" s="434" t="s">
        <v>115</v>
      </c>
      <c r="C59" s="435"/>
      <c r="D59" s="435"/>
      <c r="E59" s="401">
        <f t="shared" si="2"/>
        <v>15000</v>
      </c>
      <c r="F59" s="435">
        <v>15000</v>
      </c>
      <c r="G59" s="382">
        <v>0</v>
      </c>
    </row>
    <row r="60" spans="1:7" s="313" customFormat="1" ht="16.5" customHeight="1">
      <c r="A60" s="223"/>
      <c r="B60" s="434" t="s">
        <v>182</v>
      </c>
      <c r="C60" s="435"/>
      <c r="D60" s="435"/>
      <c r="E60" s="401">
        <f t="shared" si="2"/>
        <v>381000</v>
      </c>
      <c r="F60" s="435">
        <v>381000</v>
      </c>
      <c r="G60" s="382">
        <v>0</v>
      </c>
    </row>
    <row r="61" spans="1:8" s="313" customFormat="1" ht="16.5" customHeight="1">
      <c r="A61" s="223"/>
      <c r="B61" s="434" t="s">
        <v>124</v>
      </c>
      <c r="C61" s="435">
        <v>12500</v>
      </c>
      <c r="D61" s="435">
        <v>12500</v>
      </c>
      <c r="E61" s="401">
        <f t="shared" si="2"/>
        <v>0</v>
      </c>
      <c r="F61" s="435">
        <v>0</v>
      </c>
      <c r="G61" s="382">
        <v>0</v>
      </c>
      <c r="H61" s="313" t="s">
        <v>70</v>
      </c>
    </row>
    <row r="62" spans="1:7" s="313" customFormat="1" ht="16.5" customHeight="1">
      <c r="A62" s="223"/>
      <c r="B62" s="434" t="s">
        <v>180</v>
      </c>
      <c r="C62" s="435"/>
      <c r="D62" s="435"/>
      <c r="E62" s="401">
        <f t="shared" si="2"/>
        <v>3950</v>
      </c>
      <c r="F62" s="435">
        <v>3950</v>
      </c>
      <c r="G62" s="382"/>
    </row>
    <row r="63" spans="1:7" s="313" customFormat="1" ht="16.5" customHeight="1">
      <c r="A63" s="223"/>
      <c r="B63" s="434" t="s">
        <v>181</v>
      </c>
      <c r="C63" s="435"/>
      <c r="D63" s="435"/>
      <c r="E63" s="401">
        <f t="shared" si="2"/>
        <v>0</v>
      </c>
      <c r="F63" s="435">
        <f>3050-3050</f>
        <v>0</v>
      </c>
      <c r="G63" s="382"/>
    </row>
    <row r="64" spans="1:7" s="313" customFormat="1" ht="18" customHeight="1">
      <c r="A64" s="223"/>
      <c r="B64" s="434" t="s">
        <v>136</v>
      </c>
      <c r="C64" s="435">
        <v>12500</v>
      </c>
      <c r="D64" s="435">
        <v>12500</v>
      </c>
      <c r="E64" s="401">
        <f t="shared" si="2"/>
        <v>0</v>
      </c>
      <c r="F64" s="435">
        <f>105000-105000</f>
        <v>0</v>
      </c>
      <c r="G64" s="382">
        <v>0</v>
      </c>
    </row>
    <row r="65" spans="1:7" s="313" customFormat="1" ht="17.25" customHeight="1">
      <c r="A65" s="223"/>
      <c r="B65" s="434" t="s">
        <v>170</v>
      </c>
      <c r="C65" s="435"/>
      <c r="D65" s="435"/>
      <c r="E65" s="401">
        <f t="shared" si="2"/>
        <v>360000</v>
      </c>
      <c r="F65" s="435">
        <f>350000+10000</f>
        <v>360000</v>
      </c>
      <c r="G65" s="382">
        <v>0</v>
      </c>
    </row>
    <row r="66" spans="1:7" s="313" customFormat="1" ht="16.5" customHeight="1">
      <c r="A66" s="223"/>
      <c r="B66" s="434" t="s">
        <v>171</v>
      </c>
      <c r="C66" s="435"/>
      <c r="D66" s="435"/>
      <c r="E66" s="401">
        <f t="shared" si="2"/>
        <v>0</v>
      </c>
      <c r="F66" s="435">
        <f>160000-160000</f>
        <v>0</v>
      </c>
      <c r="G66" s="382">
        <v>0</v>
      </c>
    </row>
    <row r="67" spans="1:7" s="313" customFormat="1" ht="16.5" customHeight="1" hidden="1">
      <c r="A67" s="754" t="s">
        <v>6</v>
      </c>
      <c r="B67" s="822" t="s">
        <v>7</v>
      </c>
      <c r="C67" s="446" t="s">
        <v>18</v>
      </c>
      <c r="D67" s="446" t="s">
        <v>8</v>
      </c>
      <c r="E67" s="824" t="s">
        <v>47</v>
      </c>
      <c r="F67" s="826" t="s">
        <v>19</v>
      </c>
      <c r="G67" s="827"/>
    </row>
    <row r="68" spans="1:7" s="313" customFormat="1" ht="16.5" customHeight="1" hidden="1">
      <c r="A68" s="777"/>
      <c r="B68" s="823"/>
      <c r="C68" s="446" t="s">
        <v>0</v>
      </c>
      <c r="D68" s="446" t="s">
        <v>14</v>
      </c>
      <c r="E68" s="825"/>
      <c r="F68" s="828" t="s">
        <v>13</v>
      </c>
      <c r="G68" s="829" t="s">
        <v>20</v>
      </c>
    </row>
    <row r="69" spans="1:7" s="313" customFormat="1" ht="16.5" customHeight="1" hidden="1">
      <c r="A69" s="778"/>
      <c r="B69" s="823"/>
      <c r="C69" s="446"/>
      <c r="D69" s="446" t="s">
        <v>15</v>
      </c>
      <c r="E69" s="825"/>
      <c r="F69" s="825"/>
      <c r="G69" s="830"/>
    </row>
    <row r="70" spans="1:7" s="313" customFormat="1" ht="16.5" customHeight="1" hidden="1">
      <c r="A70" s="325"/>
      <c r="B70" s="447" t="s">
        <v>105</v>
      </c>
      <c r="C70" s="448"/>
      <c r="D70" s="448"/>
      <c r="E70" s="449">
        <f>SUM(F70:G70)</f>
        <v>0</v>
      </c>
      <c r="F70" s="448">
        <v>0</v>
      </c>
      <c r="G70" s="450"/>
    </row>
    <row r="71" spans="1:7" s="313" customFormat="1" ht="19.5" customHeight="1" hidden="1">
      <c r="A71" s="223"/>
      <c r="B71" s="451"/>
      <c r="C71" s="365"/>
      <c r="D71" s="366"/>
      <c r="E71" s="366"/>
      <c r="F71" s="365"/>
      <c r="G71" s="365"/>
    </row>
    <row r="72" spans="1:7" s="313" customFormat="1" ht="39.75" customHeight="1" hidden="1">
      <c r="A72" s="182" t="s">
        <v>29</v>
      </c>
      <c r="B72" s="415" t="s">
        <v>34</v>
      </c>
      <c r="C72" s="452"/>
      <c r="D72" s="453"/>
      <c r="E72" s="442">
        <f>SUM(F72:G72)</f>
        <v>0</v>
      </c>
      <c r="F72" s="443">
        <f>SUM(F73:F76)</f>
        <v>0</v>
      </c>
      <c r="G72" s="443">
        <v>0</v>
      </c>
    </row>
    <row r="73" spans="1:7" s="313" customFormat="1" ht="16.5" customHeight="1" hidden="1">
      <c r="A73" s="224"/>
      <c r="B73" s="454" t="s">
        <v>30</v>
      </c>
      <c r="C73" s="455"/>
      <c r="D73" s="456"/>
      <c r="E73" s="457"/>
      <c r="F73" s="458">
        <v>0</v>
      </c>
      <c r="G73" s="458">
        <v>0</v>
      </c>
    </row>
    <row r="74" spans="1:7" s="313" customFormat="1" ht="16.5" customHeight="1" hidden="1">
      <c r="A74" s="208"/>
      <c r="B74" s="459" t="s">
        <v>31</v>
      </c>
      <c r="C74" s="460"/>
      <c r="D74" s="461"/>
      <c r="E74" s="462"/>
      <c r="F74" s="463">
        <v>0</v>
      </c>
      <c r="G74" s="463">
        <v>0</v>
      </c>
    </row>
    <row r="75" spans="1:7" s="313" customFormat="1" ht="16.5" customHeight="1" hidden="1">
      <c r="A75" s="208"/>
      <c r="B75" s="459" t="s">
        <v>32</v>
      </c>
      <c r="C75" s="460"/>
      <c r="D75" s="461"/>
      <c r="E75" s="462"/>
      <c r="F75" s="463">
        <v>0</v>
      </c>
      <c r="G75" s="463">
        <v>0</v>
      </c>
    </row>
    <row r="76" spans="1:7" s="313" customFormat="1" ht="16.5" customHeight="1" hidden="1">
      <c r="A76" s="225"/>
      <c r="B76" s="464" t="s">
        <v>33</v>
      </c>
      <c r="C76" s="465"/>
      <c r="D76" s="466"/>
      <c r="E76" s="467"/>
      <c r="F76" s="468">
        <v>0</v>
      </c>
      <c r="G76" s="468">
        <v>0</v>
      </c>
    </row>
    <row r="77" spans="1:7" s="313" customFormat="1" ht="16.5" customHeight="1" thickBot="1">
      <c r="A77" s="225"/>
      <c r="B77" s="434" t="s">
        <v>177</v>
      </c>
      <c r="C77" s="435"/>
      <c r="D77" s="435"/>
      <c r="E77" s="401">
        <f aca="true" t="shared" si="3" ref="E77:E84">SUM(F77:G77)</f>
        <v>855000</v>
      </c>
      <c r="F77" s="435">
        <f>865000-800000-10000</f>
        <v>55000</v>
      </c>
      <c r="G77" s="382">
        <f>0+800000</f>
        <v>800000</v>
      </c>
    </row>
    <row r="78" spans="1:7" s="313" customFormat="1" ht="16.5" customHeight="1" thickBot="1">
      <c r="A78" s="185" t="s">
        <v>137</v>
      </c>
      <c r="B78" s="469"/>
      <c r="C78" s="470"/>
      <c r="D78" s="471"/>
      <c r="E78" s="472">
        <f t="shared" si="3"/>
        <v>0</v>
      </c>
      <c r="F78" s="473">
        <f>SUM(F79:F80)</f>
        <v>0</v>
      </c>
      <c r="G78" s="474">
        <f>SUM(G79:G81)</f>
        <v>0</v>
      </c>
    </row>
    <row r="79" spans="1:7" s="313" customFormat="1" ht="30" customHeight="1" thickBot="1">
      <c r="A79" s="632" t="s">
        <v>138</v>
      </c>
      <c r="B79" s="425" t="s">
        <v>139</v>
      </c>
      <c r="C79" s="465"/>
      <c r="D79" s="466"/>
      <c r="E79" s="399">
        <f t="shared" si="3"/>
        <v>0</v>
      </c>
      <c r="F79" s="475">
        <f>15000-15000</f>
        <v>0</v>
      </c>
      <c r="G79" s="424">
        <v>0</v>
      </c>
    </row>
    <row r="80" spans="1:7" s="313" customFormat="1" ht="19.5" customHeight="1" thickBot="1">
      <c r="A80" s="633"/>
      <c r="B80" s="425" t="s">
        <v>140</v>
      </c>
      <c r="C80" s="465"/>
      <c r="D80" s="466"/>
      <c r="E80" s="399">
        <f t="shared" si="3"/>
        <v>0</v>
      </c>
      <c r="F80" s="475">
        <f>20000-20000</f>
        <v>0</v>
      </c>
      <c r="G80" s="424">
        <v>0</v>
      </c>
    </row>
    <row r="81" spans="1:7" s="313" customFormat="1" ht="15.75" customHeight="1" thickBot="1">
      <c r="A81" s="634" t="s">
        <v>36</v>
      </c>
      <c r="B81" s="476"/>
      <c r="C81" s="477"/>
      <c r="D81" s="477"/>
      <c r="E81" s="478">
        <f t="shared" si="3"/>
        <v>35100</v>
      </c>
      <c r="F81" s="479">
        <f>SUM(F82:F84)</f>
        <v>35100</v>
      </c>
      <c r="G81" s="479">
        <f>SUM(G82:G96)</f>
        <v>0</v>
      </c>
    </row>
    <row r="82" spans="1:7" s="313" customFormat="1" ht="17.25" customHeight="1" thickBot="1">
      <c r="A82" s="635" t="s">
        <v>4</v>
      </c>
      <c r="B82" s="480" t="s">
        <v>169</v>
      </c>
      <c r="C82" s="481"/>
      <c r="D82" s="482"/>
      <c r="E82" s="483">
        <f t="shared" si="3"/>
        <v>5100</v>
      </c>
      <c r="F82" s="484">
        <v>5100</v>
      </c>
      <c r="G82" s="485">
        <v>0</v>
      </c>
    </row>
    <row r="83" spans="1:7" s="313" customFormat="1" ht="15" customHeight="1" thickBot="1">
      <c r="A83" s="636"/>
      <c r="B83" s="480" t="s">
        <v>172</v>
      </c>
      <c r="C83" s="481"/>
      <c r="D83" s="482"/>
      <c r="E83" s="483">
        <f t="shared" si="3"/>
        <v>20000</v>
      </c>
      <c r="F83" s="484">
        <f>45000-25000</f>
        <v>20000</v>
      </c>
      <c r="G83" s="485">
        <v>0</v>
      </c>
    </row>
    <row r="84" spans="1:7" s="313" customFormat="1" ht="22.5" customHeight="1" thickBot="1">
      <c r="A84" s="637" t="s">
        <v>106</v>
      </c>
      <c r="B84" s="486" t="s">
        <v>125</v>
      </c>
      <c r="C84" s="481"/>
      <c r="D84" s="482"/>
      <c r="E84" s="487">
        <f t="shared" si="3"/>
        <v>10000</v>
      </c>
      <c r="F84" s="488">
        <v>10000</v>
      </c>
      <c r="G84" s="485">
        <v>0</v>
      </c>
    </row>
    <row r="85" spans="1:7" s="313" customFormat="1" ht="15" customHeight="1" hidden="1">
      <c r="A85" s="636"/>
      <c r="B85" s="489"/>
      <c r="C85" s="490"/>
      <c r="D85" s="490"/>
      <c r="E85" s="491"/>
      <c r="F85" s="492"/>
      <c r="G85" s="463"/>
    </row>
    <row r="86" spans="1:7" s="313" customFormat="1" ht="15" customHeight="1" hidden="1">
      <c r="A86" s="636"/>
      <c r="B86" s="489"/>
      <c r="C86" s="490"/>
      <c r="D86" s="490"/>
      <c r="E86" s="491"/>
      <c r="F86" s="492"/>
      <c r="G86" s="463"/>
    </row>
    <row r="87" spans="1:7" s="313" customFormat="1" ht="26.25" customHeight="1" thickBot="1">
      <c r="A87" s="634" t="s">
        <v>66</v>
      </c>
      <c r="B87" s="476"/>
      <c r="C87" s="477"/>
      <c r="D87" s="477"/>
      <c r="E87" s="478">
        <f aca="true" t="shared" si="4" ref="E87:E92">SUM(F87:G87)</f>
        <v>60000</v>
      </c>
      <c r="F87" s="479">
        <f>SUM(F88:F89)</f>
        <v>60000</v>
      </c>
      <c r="G87" s="479">
        <f>SUM(G88:G98)</f>
        <v>0</v>
      </c>
    </row>
    <row r="88" spans="1:7" s="313" customFormat="1" ht="31.5" customHeight="1" hidden="1">
      <c r="A88" s="638" t="s">
        <v>48</v>
      </c>
      <c r="B88" s="493" t="s">
        <v>49</v>
      </c>
      <c r="C88" s="437"/>
      <c r="D88" s="438"/>
      <c r="E88" s="494">
        <f t="shared" si="4"/>
        <v>0</v>
      </c>
      <c r="F88" s="437">
        <v>0</v>
      </c>
      <c r="G88" s="495">
        <v>0</v>
      </c>
    </row>
    <row r="89" spans="1:8" s="313" customFormat="1" ht="15.75" thickBot="1">
      <c r="A89" s="638" t="s">
        <v>65</v>
      </c>
      <c r="B89" s="493" t="s">
        <v>173</v>
      </c>
      <c r="C89" s="437"/>
      <c r="D89" s="438"/>
      <c r="E89" s="494">
        <f t="shared" si="4"/>
        <v>60000</v>
      </c>
      <c r="F89" s="437">
        <f>35000+25000</f>
        <v>60000</v>
      </c>
      <c r="G89" s="495">
        <v>0</v>
      </c>
      <c r="H89" s="313" t="s">
        <v>109</v>
      </c>
    </row>
    <row r="90" spans="1:7" s="313" customFormat="1" ht="14.25" customHeight="1" thickBot="1">
      <c r="A90" s="634" t="s">
        <v>60</v>
      </c>
      <c r="B90" s="469"/>
      <c r="C90" s="470"/>
      <c r="D90" s="471"/>
      <c r="E90" s="472">
        <f t="shared" si="4"/>
        <v>342</v>
      </c>
      <c r="F90" s="473">
        <f>SUM(F91)</f>
        <v>342</v>
      </c>
      <c r="G90" s="474">
        <f>SUM(G91:G92)</f>
        <v>0</v>
      </c>
    </row>
    <row r="91" spans="1:7" s="313" customFormat="1" ht="16.5" customHeight="1" thickBot="1">
      <c r="A91" s="633" t="s">
        <v>61</v>
      </c>
      <c r="B91" s="425" t="s">
        <v>62</v>
      </c>
      <c r="C91" s="465"/>
      <c r="D91" s="466"/>
      <c r="E91" s="399">
        <f t="shared" si="4"/>
        <v>342</v>
      </c>
      <c r="F91" s="475">
        <f>342+10000-10000</f>
        <v>342</v>
      </c>
      <c r="G91" s="424">
        <v>0</v>
      </c>
    </row>
    <row r="92" spans="1:7" s="313" customFormat="1" ht="28.5" customHeight="1" hidden="1">
      <c r="A92" s="638" t="s">
        <v>48</v>
      </c>
      <c r="B92" s="493" t="s">
        <v>49</v>
      </c>
      <c r="C92" s="437"/>
      <c r="D92" s="438"/>
      <c r="E92" s="494">
        <f t="shared" si="4"/>
        <v>0</v>
      </c>
      <c r="F92" s="437">
        <v>0</v>
      </c>
      <c r="G92" s="495">
        <v>0</v>
      </c>
    </row>
    <row r="93" spans="1:7" s="313" customFormat="1" ht="12.75" customHeight="1" hidden="1">
      <c r="A93" s="855" t="s">
        <v>6</v>
      </c>
      <c r="B93" s="785" t="s">
        <v>7</v>
      </c>
      <c r="C93" s="406" t="s">
        <v>18</v>
      </c>
      <c r="D93" s="407" t="s">
        <v>8</v>
      </c>
      <c r="E93" s="787" t="s">
        <v>96</v>
      </c>
      <c r="F93" s="834" t="s">
        <v>19</v>
      </c>
      <c r="G93" s="835"/>
    </row>
    <row r="94" spans="1:7" s="313" customFormat="1" ht="12.75" customHeight="1" hidden="1">
      <c r="A94" s="856"/>
      <c r="B94" s="831"/>
      <c r="C94" s="408" t="s">
        <v>0</v>
      </c>
      <c r="D94" s="409" t="s">
        <v>14</v>
      </c>
      <c r="E94" s="788"/>
      <c r="F94" s="836" t="s">
        <v>54</v>
      </c>
      <c r="G94" s="838" t="s">
        <v>55</v>
      </c>
    </row>
    <row r="95" spans="1:7" s="313" customFormat="1" ht="10.5" customHeight="1" hidden="1">
      <c r="A95" s="857"/>
      <c r="B95" s="832"/>
      <c r="C95" s="410"/>
      <c r="D95" s="411" t="s">
        <v>15</v>
      </c>
      <c r="E95" s="833"/>
      <c r="F95" s="837"/>
      <c r="G95" s="839"/>
    </row>
    <row r="96" spans="1:7" s="313" customFormat="1" ht="20.25" customHeight="1" hidden="1">
      <c r="A96" s="639"/>
      <c r="B96" s="496" t="s">
        <v>38</v>
      </c>
      <c r="C96" s="460"/>
      <c r="D96" s="461"/>
      <c r="E96" s="483">
        <f aca="true" t="shared" si="5" ref="E96:E114">SUM(F96:G96)</f>
        <v>0</v>
      </c>
      <c r="F96" s="484">
        <v>0</v>
      </c>
      <c r="G96" s="485">
        <v>0</v>
      </c>
    </row>
    <row r="97" spans="1:9" s="304" customFormat="1" ht="16.5" customHeight="1" thickBot="1">
      <c r="A97" s="634" t="s">
        <v>12</v>
      </c>
      <c r="B97" s="497"/>
      <c r="C97" s="498">
        <v>12500</v>
      </c>
      <c r="D97" s="499">
        <v>12500</v>
      </c>
      <c r="E97" s="472">
        <f t="shared" si="5"/>
        <v>2058387</v>
      </c>
      <c r="F97" s="500">
        <f>SUM(F98:F108)+F109</f>
        <v>2058387</v>
      </c>
      <c r="G97" s="474">
        <f>SUM(G98:G102)</f>
        <v>0</v>
      </c>
      <c r="H97" s="207"/>
      <c r="I97" s="207"/>
    </row>
    <row r="98" spans="1:9" s="304" customFormat="1" ht="18.75" customHeight="1">
      <c r="A98" s="640" t="s">
        <v>26</v>
      </c>
      <c r="B98" s="416" t="s">
        <v>101</v>
      </c>
      <c r="C98" s="501"/>
      <c r="D98" s="502"/>
      <c r="E98" s="381">
        <f t="shared" si="5"/>
        <v>550000</v>
      </c>
      <c r="F98" s="503">
        <v>550000</v>
      </c>
      <c r="G98" s="445">
        <v>0</v>
      </c>
      <c r="H98" s="207"/>
      <c r="I98" s="207"/>
    </row>
    <row r="99" spans="1:9" s="304" customFormat="1" ht="21" customHeight="1">
      <c r="A99" s="641"/>
      <c r="B99" s="416" t="s">
        <v>112</v>
      </c>
      <c r="C99" s="501"/>
      <c r="D99" s="502"/>
      <c r="E99" s="381">
        <f t="shared" si="5"/>
        <v>1245687</v>
      </c>
      <c r="F99" s="503">
        <f>1205687+40000</f>
        <v>1245687</v>
      </c>
      <c r="G99" s="445">
        <v>0</v>
      </c>
      <c r="H99" s="207"/>
      <c r="I99" s="207"/>
    </row>
    <row r="100" spans="1:9" s="304" customFormat="1" ht="19.5" customHeight="1">
      <c r="A100" s="642"/>
      <c r="B100" s="415" t="s">
        <v>92</v>
      </c>
      <c r="C100" s="504">
        <v>47000</v>
      </c>
      <c r="D100" s="505">
        <v>47000</v>
      </c>
      <c r="E100" s="399">
        <f t="shared" si="5"/>
        <v>10000</v>
      </c>
      <c r="F100" s="506">
        <v>10000</v>
      </c>
      <c r="G100" s="443">
        <v>0</v>
      </c>
      <c r="H100" s="207"/>
      <c r="I100" s="207"/>
    </row>
    <row r="101" spans="1:9" s="304" customFormat="1" ht="18" customHeight="1" thickBot="1">
      <c r="A101" s="643"/>
      <c r="B101" s="507" t="s">
        <v>122</v>
      </c>
      <c r="C101" s="508"/>
      <c r="D101" s="508"/>
      <c r="E101" s="399">
        <f t="shared" si="5"/>
        <v>7000</v>
      </c>
      <c r="F101" s="506">
        <v>7000</v>
      </c>
      <c r="G101" s="443"/>
      <c r="H101" s="207"/>
      <c r="I101" s="207"/>
    </row>
    <row r="102" spans="1:9" s="304" customFormat="1" ht="17.25" customHeight="1">
      <c r="A102" s="644" t="s">
        <v>27</v>
      </c>
      <c r="B102" s="415" t="s">
        <v>174</v>
      </c>
      <c r="C102" s="501"/>
      <c r="D102" s="502"/>
      <c r="E102" s="444">
        <f t="shared" si="5"/>
        <v>240000</v>
      </c>
      <c r="F102" s="503">
        <f>210000+30000</f>
        <v>240000</v>
      </c>
      <c r="G102" s="445">
        <v>0</v>
      </c>
      <c r="H102" s="207"/>
      <c r="I102" s="207"/>
    </row>
    <row r="103" spans="1:7" ht="15.75" hidden="1">
      <c r="A103" s="645" t="s">
        <v>63</v>
      </c>
      <c r="B103" s="416"/>
      <c r="C103" s="379"/>
      <c r="D103" s="380"/>
      <c r="E103" s="509">
        <f t="shared" si="5"/>
        <v>0</v>
      </c>
      <c r="F103" s="510">
        <f>SUM(F104)</f>
        <v>0</v>
      </c>
      <c r="G103" s="511">
        <f>SUM(G104)</f>
        <v>0</v>
      </c>
    </row>
    <row r="104" spans="1:7" ht="24" customHeight="1" hidden="1">
      <c r="A104" s="646" t="s">
        <v>64</v>
      </c>
      <c r="B104" s="493" t="s">
        <v>87</v>
      </c>
      <c r="C104" s="437"/>
      <c r="D104" s="438"/>
      <c r="E104" s="512">
        <f t="shared" si="5"/>
        <v>0</v>
      </c>
      <c r="F104" s="439">
        <v>0</v>
      </c>
      <c r="G104" s="440">
        <v>0</v>
      </c>
    </row>
    <row r="105" spans="1:7" ht="24" customHeight="1" hidden="1">
      <c r="A105" s="647"/>
      <c r="B105" s="416" t="s">
        <v>110</v>
      </c>
      <c r="C105" s="501"/>
      <c r="D105" s="502"/>
      <c r="E105" s="444">
        <f t="shared" si="5"/>
        <v>0</v>
      </c>
      <c r="F105" s="503">
        <v>0</v>
      </c>
      <c r="G105" s="513">
        <v>0</v>
      </c>
    </row>
    <row r="106" spans="1:7" ht="16.5" customHeight="1" hidden="1">
      <c r="A106" s="648"/>
      <c r="B106" s="416" t="s">
        <v>111</v>
      </c>
      <c r="C106" s="501"/>
      <c r="D106" s="502"/>
      <c r="E106" s="444">
        <f t="shared" si="5"/>
        <v>0</v>
      </c>
      <c r="F106" s="503">
        <v>0</v>
      </c>
      <c r="G106" s="445">
        <v>0</v>
      </c>
    </row>
    <row r="107" spans="1:7" ht="18" customHeight="1" hidden="1">
      <c r="A107" s="649" t="s">
        <v>99</v>
      </c>
      <c r="B107" s="416" t="s">
        <v>100</v>
      </c>
      <c r="C107" s="501"/>
      <c r="D107" s="502"/>
      <c r="E107" s="444">
        <f t="shared" si="5"/>
        <v>0</v>
      </c>
      <c r="F107" s="503">
        <v>0</v>
      </c>
      <c r="G107" s="445">
        <v>0</v>
      </c>
    </row>
    <row r="108" spans="1:7" ht="18" customHeight="1" hidden="1">
      <c r="A108" s="650"/>
      <c r="B108" s="415" t="s">
        <v>92</v>
      </c>
      <c r="C108" s="504">
        <v>47000</v>
      </c>
      <c r="D108" s="505">
        <v>47000</v>
      </c>
      <c r="E108" s="399">
        <f t="shared" si="5"/>
        <v>0</v>
      </c>
      <c r="F108" s="506">
        <v>0</v>
      </c>
      <c r="G108" s="443">
        <v>0</v>
      </c>
    </row>
    <row r="109" spans="1:7" ht="18" customHeight="1" thickBot="1">
      <c r="A109" s="650" t="s">
        <v>178</v>
      </c>
      <c r="B109" s="496" t="s">
        <v>179</v>
      </c>
      <c r="C109" s="514"/>
      <c r="D109" s="515"/>
      <c r="E109" s="444">
        <f t="shared" si="5"/>
        <v>5700</v>
      </c>
      <c r="F109" s="503">
        <v>5700</v>
      </c>
      <c r="G109" s="445">
        <v>0</v>
      </c>
    </row>
    <row r="110" spans="1:7" ht="18" customHeight="1" thickBot="1">
      <c r="A110" s="634" t="s">
        <v>107</v>
      </c>
      <c r="B110" s="497"/>
      <c r="C110" s="498">
        <v>12500</v>
      </c>
      <c r="D110" s="499">
        <v>12500</v>
      </c>
      <c r="E110" s="472">
        <f t="shared" si="5"/>
        <v>50000</v>
      </c>
      <c r="F110" s="516">
        <f>SUM(F111)</f>
        <v>50000</v>
      </c>
      <c r="G110" s="474">
        <f>SUM(G111)</f>
        <v>0</v>
      </c>
    </row>
    <row r="111" spans="1:7" ht="20.25" customHeight="1" thickBot="1">
      <c r="A111" s="651" t="s">
        <v>108</v>
      </c>
      <c r="B111" s="416" t="s">
        <v>162</v>
      </c>
      <c r="C111" s="501"/>
      <c r="D111" s="502"/>
      <c r="E111" s="381">
        <f t="shared" si="5"/>
        <v>50000</v>
      </c>
      <c r="F111" s="503">
        <f>50000-50000+50000</f>
        <v>50000</v>
      </c>
      <c r="G111" s="445">
        <v>0</v>
      </c>
    </row>
    <row r="112" spans="1:7" ht="31.5" customHeight="1" thickBot="1">
      <c r="A112" s="652" t="s">
        <v>9</v>
      </c>
      <c r="B112" s="426"/>
      <c r="C112" s="427">
        <v>40000</v>
      </c>
      <c r="D112" s="517">
        <v>40000</v>
      </c>
      <c r="E112" s="472">
        <f t="shared" si="5"/>
        <v>143500</v>
      </c>
      <c r="F112" s="518">
        <f>SUM(F114:F119)</f>
        <v>143500</v>
      </c>
      <c r="G112" s="519">
        <f>SUM(G114:G119)</f>
        <v>0</v>
      </c>
    </row>
    <row r="113" spans="1:7" s="313" customFormat="1" ht="13.5" customHeight="1" hidden="1">
      <c r="A113" s="653"/>
      <c r="B113" s="520"/>
      <c r="C113" s="521"/>
      <c r="D113" s="522"/>
      <c r="E113" s="399">
        <f t="shared" si="5"/>
        <v>0</v>
      </c>
      <c r="F113" s="523"/>
      <c r="G113" s="511"/>
    </row>
    <row r="114" spans="1:7" s="313" customFormat="1" ht="19.5" customHeight="1" hidden="1">
      <c r="A114" s="654" t="s">
        <v>89</v>
      </c>
      <c r="B114" s="524" t="s">
        <v>91</v>
      </c>
      <c r="C114" s="525">
        <v>36475</v>
      </c>
      <c r="D114" s="526">
        <v>36475</v>
      </c>
      <c r="E114" s="494">
        <f t="shared" si="5"/>
        <v>0</v>
      </c>
      <c r="F114" s="527">
        <v>0</v>
      </c>
      <c r="G114" s="440">
        <v>0</v>
      </c>
    </row>
    <row r="115" spans="1:7" s="313" customFormat="1" ht="15.75" customHeight="1" hidden="1">
      <c r="A115" s="855" t="s">
        <v>6</v>
      </c>
      <c r="B115" s="785" t="s">
        <v>7</v>
      </c>
      <c r="C115" s="406" t="s">
        <v>18</v>
      </c>
      <c r="D115" s="407" t="s">
        <v>8</v>
      </c>
      <c r="E115" s="813" t="s">
        <v>37</v>
      </c>
      <c r="F115" s="816" t="s">
        <v>19</v>
      </c>
      <c r="G115" s="817"/>
    </row>
    <row r="116" spans="1:7" s="313" customFormat="1" ht="16.5" hidden="1" thickBot="1">
      <c r="A116" s="856"/>
      <c r="B116" s="831"/>
      <c r="C116" s="408" t="s">
        <v>0</v>
      </c>
      <c r="D116" s="409" t="s">
        <v>14</v>
      </c>
      <c r="E116" s="814"/>
      <c r="F116" s="818" t="s">
        <v>13</v>
      </c>
      <c r="G116" s="820" t="s">
        <v>20</v>
      </c>
    </row>
    <row r="117" spans="1:7" s="313" customFormat="1" ht="15" customHeight="1" hidden="1">
      <c r="A117" s="857"/>
      <c r="B117" s="832"/>
      <c r="C117" s="410"/>
      <c r="D117" s="411" t="s">
        <v>15</v>
      </c>
      <c r="E117" s="815"/>
      <c r="F117" s="819"/>
      <c r="G117" s="821"/>
    </row>
    <row r="118" spans="1:7" s="313" customFormat="1" ht="45" customHeight="1" hidden="1">
      <c r="A118" s="654" t="s">
        <v>40</v>
      </c>
      <c r="B118" s="528" t="s">
        <v>41</v>
      </c>
      <c r="C118" s="529">
        <v>36475</v>
      </c>
      <c r="D118" s="530">
        <v>36475</v>
      </c>
      <c r="E118" s="400">
        <f aca="true" t="shared" si="6" ref="E118:E128">SUM(F118:G118)</f>
        <v>0</v>
      </c>
      <c r="F118" s="531">
        <v>0</v>
      </c>
      <c r="G118" s="513">
        <v>0</v>
      </c>
    </row>
    <row r="119" spans="1:7" s="313" customFormat="1" ht="18" customHeight="1" thickBot="1">
      <c r="A119" s="655" t="s">
        <v>35</v>
      </c>
      <c r="B119" s="532"/>
      <c r="C119" s="533"/>
      <c r="D119" s="534"/>
      <c r="E119" s="535">
        <f t="shared" si="6"/>
        <v>143500</v>
      </c>
      <c r="F119" s="536">
        <f>SUM(F120:F128)</f>
        <v>143500</v>
      </c>
      <c r="G119" s="536">
        <f>SUM(G120:G128)</f>
        <v>0</v>
      </c>
    </row>
    <row r="120" spans="1:7" s="313" customFormat="1" ht="16.5" customHeight="1">
      <c r="A120" s="656"/>
      <c r="B120" s="537" t="s">
        <v>116</v>
      </c>
      <c r="C120" s="538">
        <v>36475</v>
      </c>
      <c r="D120" s="539">
        <v>36475</v>
      </c>
      <c r="E120" s="540">
        <f t="shared" si="6"/>
        <v>40000</v>
      </c>
      <c r="F120" s="488">
        <v>40000</v>
      </c>
      <c r="G120" s="393">
        <v>0</v>
      </c>
    </row>
    <row r="121" spans="1:7" s="313" customFormat="1" ht="16.5" customHeight="1">
      <c r="A121" s="657"/>
      <c r="B121" s="541" t="s">
        <v>117</v>
      </c>
      <c r="C121" s="542"/>
      <c r="D121" s="543"/>
      <c r="E121" s="401">
        <f t="shared" si="6"/>
        <v>15000</v>
      </c>
      <c r="F121" s="435">
        <v>15000</v>
      </c>
      <c r="G121" s="382">
        <v>0</v>
      </c>
    </row>
    <row r="122" spans="1:7" s="313" customFormat="1" ht="18" customHeight="1">
      <c r="A122" s="657"/>
      <c r="B122" s="541" t="s">
        <v>118</v>
      </c>
      <c r="C122" s="538"/>
      <c r="D122" s="539"/>
      <c r="E122" s="401">
        <f t="shared" si="6"/>
        <v>8000</v>
      </c>
      <c r="F122" s="488">
        <v>8000</v>
      </c>
      <c r="G122" s="393">
        <v>0</v>
      </c>
    </row>
    <row r="123" spans="1:7" s="313" customFormat="1" ht="15.75" customHeight="1">
      <c r="A123" s="657"/>
      <c r="B123" s="544" t="s">
        <v>90</v>
      </c>
      <c r="C123" s="538"/>
      <c r="D123" s="539"/>
      <c r="E123" s="401">
        <f t="shared" si="6"/>
        <v>8200</v>
      </c>
      <c r="F123" s="545">
        <v>8200</v>
      </c>
      <c r="G123" s="393">
        <v>0</v>
      </c>
    </row>
    <row r="124" spans="1:7" s="313" customFormat="1" ht="16.5" customHeight="1">
      <c r="A124" s="657"/>
      <c r="B124" s="541" t="s">
        <v>119</v>
      </c>
      <c r="C124" s="542"/>
      <c r="D124" s="543"/>
      <c r="E124" s="540">
        <f t="shared" si="6"/>
        <v>3000</v>
      </c>
      <c r="F124" s="546">
        <v>3000</v>
      </c>
      <c r="G124" s="382">
        <v>0</v>
      </c>
    </row>
    <row r="125" spans="1:8" s="313" customFormat="1" ht="16.5" customHeight="1">
      <c r="A125" s="657"/>
      <c r="B125" s="541" t="s">
        <v>144</v>
      </c>
      <c r="C125" s="542"/>
      <c r="D125" s="543"/>
      <c r="E125" s="540">
        <f t="shared" si="6"/>
        <v>29000</v>
      </c>
      <c r="F125" s="546">
        <v>29000</v>
      </c>
      <c r="G125" s="382"/>
      <c r="H125" s="313" t="s">
        <v>145</v>
      </c>
    </row>
    <row r="126" spans="1:7" s="313" customFormat="1" ht="17.25" customHeight="1">
      <c r="A126" s="657"/>
      <c r="B126" s="541" t="s">
        <v>121</v>
      </c>
      <c r="C126" s="542"/>
      <c r="D126" s="543"/>
      <c r="E126" s="540">
        <f t="shared" si="6"/>
        <v>3000</v>
      </c>
      <c r="F126" s="546">
        <v>3000</v>
      </c>
      <c r="G126" s="382"/>
    </row>
    <row r="127" spans="1:7" s="313" customFormat="1" ht="20.25" customHeight="1">
      <c r="A127" s="657"/>
      <c r="B127" s="541" t="s">
        <v>141</v>
      </c>
      <c r="C127" s="542"/>
      <c r="D127" s="543"/>
      <c r="E127" s="540">
        <f t="shared" si="6"/>
        <v>24500</v>
      </c>
      <c r="F127" s="546">
        <f>25000-500</f>
        <v>24500</v>
      </c>
      <c r="G127" s="382"/>
    </row>
    <row r="128" spans="1:8" s="313" customFormat="1" ht="20.25" customHeight="1" thickBot="1">
      <c r="A128" s="657"/>
      <c r="B128" s="547" t="s">
        <v>120</v>
      </c>
      <c r="C128" s="529"/>
      <c r="D128" s="530"/>
      <c r="E128" s="548">
        <f t="shared" si="6"/>
        <v>12800</v>
      </c>
      <c r="F128" s="549">
        <f>12300+500</f>
        <v>12800</v>
      </c>
      <c r="G128" s="387"/>
      <c r="H128" s="313" t="s">
        <v>160</v>
      </c>
    </row>
    <row r="129" spans="1:7" ht="15" customHeight="1">
      <c r="A129" s="855" t="s">
        <v>6</v>
      </c>
      <c r="B129" s="785" t="s">
        <v>7</v>
      </c>
      <c r="C129" s="406" t="s">
        <v>18</v>
      </c>
      <c r="D129" s="407" t="s">
        <v>8</v>
      </c>
      <c r="E129" s="813" t="s">
        <v>165</v>
      </c>
      <c r="F129" s="816" t="s">
        <v>19</v>
      </c>
      <c r="G129" s="817"/>
    </row>
    <row r="130" spans="1:7" ht="12.75" customHeight="1">
      <c r="A130" s="856"/>
      <c r="B130" s="831"/>
      <c r="C130" s="408" t="s">
        <v>0</v>
      </c>
      <c r="D130" s="409" t="s">
        <v>14</v>
      </c>
      <c r="E130" s="814"/>
      <c r="F130" s="791" t="s">
        <v>13</v>
      </c>
      <c r="G130" s="793" t="str">
        <f>G5</f>
        <v>środki zewnętrzne (zł)</v>
      </c>
    </row>
    <row r="131" spans="1:7" ht="18" customHeight="1" thickBot="1">
      <c r="A131" s="857"/>
      <c r="B131" s="832"/>
      <c r="C131" s="410"/>
      <c r="D131" s="411" t="s">
        <v>15</v>
      </c>
      <c r="E131" s="815"/>
      <c r="F131" s="840"/>
      <c r="G131" s="841"/>
    </row>
    <row r="132" spans="1:17" ht="28.5" customHeight="1" thickBot="1">
      <c r="A132" s="652" t="s">
        <v>21</v>
      </c>
      <c r="B132" s="426"/>
      <c r="C132" s="427">
        <v>23200</v>
      </c>
      <c r="D132" s="517">
        <v>23200</v>
      </c>
      <c r="E132" s="550">
        <f aca="true" t="shared" si="7" ref="E132:E148">SUM(F132:G132)</f>
        <v>58520.85</v>
      </c>
      <c r="F132" s="551">
        <f>SUM(F133:F142)</f>
        <v>58520.85</v>
      </c>
      <c r="G132" s="552">
        <f>SUM(G133:G141)</f>
        <v>0</v>
      </c>
      <c r="K132" s="307"/>
      <c r="L132" s="307"/>
      <c r="M132" s="308"/>
      <c r="N132" s="308"/>
      <c r="O132" s="309"/>
      <c r="P132" s="310"/>
      <c r="Q132" s="310"/>
    </row>
    <row r="133" spans="1:7" ht="25.5">
      <c r="A133" s="639" t="s">
        <v>22</v>
      </c>
      <c r="B133" s="553" t="s">
        <v>142</v>
      </c>
      <c r="C133" s="554">
        <v>1500</v>
      </c>
      <c r="D133" s="555">
        <v>1500</v>
      </c>
      <c r="E133" s="556">
        <f t="shared" si="7"/>
        <v>0</v>
      </c>
      <c r="F133" s="488">
        <f>75000-20000-55000</f>
        <v>0</v>
      </c>
      <c r="G133" s="393">
        <v>0</v>
      </c>
    </row>
    <row r="134" spans="1:8" ht="17.25" customHeight="1" thickBot="1">
      <c r="A134" s="658"/>
      <c r="B134" s="557" t="s">
        <v>155</v>
      </c>
      <c r="C134" s="558"/>
      <c r="D134" s="559"/>
      <c r="E134" s="556">
        <f t="shared" si="7"/>
        <v>35000</v>
      </c>
      <c r="F134" s="488">
        <v>35000</v>
      </c>
      <c r="G134" s="393">
        <v>0</v>
      </c>
      <c r="H134" s="313" t="s">
        <v>133</v>
      </c>
    </row>
    <row r="135" spans="1:7" ht="15.75" hidden="1" thickBot="1">
      <c r="A135" s="659"/>
      <c r="B135" s="416" t="s">
        <v>88</v>
      </c>
      <c r="C135" s="560"/>
      <c r="D135" s="561"/>
      <c r="E135" s="562">
        <f t="shared" si="7"/>
        <v>0</v>
      </c>
      <c r="F135" s="435">
        <v>0</v>
      </c>
      <c r="G135" s="382">
        <v>0</v>
      </c>
    </row>
    <row r="136" spans="1:8" ht="17.25" customHeight="1" thickBot="1">
      <c r="A136" s="659"/>
      <c r="B136" s="563" t="s">
        <v>158</v>
      </c>
      <c r="C136" s="560">
        <v>1500</v>
      </c>
      <c r="D136" s="561">
        <v>1500</v>
      </c>
      <c r="E136" s="556">
        <f t="shared" si="7"/>
        <v>7500</v>
      </c>
      <c r="F136" s="540">
        <v>7500</v>
      </c>
      <c r="G136" s="382">
        <v>0</v>
      </c>
      <c r="H136" s="313" t="s">
        <v>159</v>
      </c>
    </row>
    <row r="137" spans="1:7" ht="22.5" customHeight="1" hidden="1">
      <c r="A137" s="659"/>
      <c r="B137" s="564" t="s">
        <v>97</v>
      </c>
      <c r="C137" s="560"/>
      <c r="D137" s="561"/>
      <c r="E137" s="556">
        <f t="shared" si="7"/>
        <v>0</v>
      </c>
      <c r="F137" s="540">
        <v>0</v>
      </c>
      <c r="G137" s="382">
        <v>0</v>
      </c>
    </row>
    <row r="138" spans="1:7" ht="17.25" customHeight="1" hidden="1">
      <c r="A138" s="659"/>
      <c r="B138" s="564" t="s">
        <v>93</v>
      </c>
      <c r="C138" s="560"/>
      <c r="D138" s="561"/>
      <c r="E138" s="556">
        <f t="shared" si="7"/>
        <v>0</v>
      </c>
      <c r="F138" s="540">
        <v>0</v>
      </c>
      <c r="G138" s="382">
        <v>0</v>
      </c>
    </row>
    <row r="139" spans="1:7" ht="17.25" customHeight="1" hidden="1">
      <c r="A139" s="659"/>
      <c r="B139" s="565" t="s">
        <v>86</v>
      </c>
      <c r="C139" s="560"/>
      <c r="D139" s="561"/>
      <c r="E139" s="562">
        <f t="shared" si="7"/>
        <v>0</v>
      </c>
      <c r="F139" s="435">
        <v>0</v>
      </c>
      <c r="G139" s="382">
        <v>0</v>
      </c>
    </row>
    <row r="140" spans="1:7" ht="15.75" customHeight="1" hidden="1" thickBot="1">
      <c r="A140" s="659"/>
      <c r="B140" s="416" t="s">
        <v>113</v>
      </c>
      <c r="C140" s="560"/>
      <c r="D140" s="561"/>
      <c r="E140" s="562">
        <f t="shared" si="7"/>
        <v>0</v>
      </c>
      <c r="F140" s="435">
        <v>0</v>
      </c>
      <c r="G140" s="382">
        <v>0</v>
      </c>
    </row>
    <row r="141" spans="1:10" ht="15.75" thickBot="1">
      <c r="A141" s="579"/>
      <c r="B141" s="528" t="s">
        <v>200</v>
      </c>
      <c r="C141" s="566"/>
      <c r="D141" s="567"/>
      <c r="E141" s="660">
        <f t="shared" si="7"/>
        <v>11020.85</v>
      </c>
      <c r="F141" s="661">
        <f>0+11020.85</f>
        <v>11020.85</v>
      </c>
      <c r="G141" s="387">
        <v>0</v>
      </c>
      <c r="H141" s="335"/>
      <c r="J141" s="306"/>
    </row>
    <row r="142" spans="1:10" ht="30" customHeight="1" thickBot="1">
      <c r="A142" s="662" t="s">
        <v>59</v>
      </c>
      <c r="B142" s="570" t="s">
        <v>156</v>
      </c>
      <c r="C142" s="571">
        <v>1500</v>
      </c>
      <c r="D142" s="572">
        <v>1500</v>
      </c>
      <c r="E142" s="573">
        <f t="shared" si="7"/>
        <v>5000</v>
      </c>
      <c r="F142" s="448">
        <v>5000</v>
      </c>
      <c r="G142" s="495">
        <v>0</v>
      </c>
      <c r="H142" s="335" t="s">
        <v>157</v>
      </c>
      <c r="J142" s="306"/>
    </row>
    <row r="143" spans="1:7" ht="18" customHeight="1" thickBot="1">
      <c r="A143" s="663" t="s">
        <v>23</v>
      </c>
      <c r="B143" s="426"/>
      <c r="C143" s="427">
        <v>23200</v>
      </c>
      <c r="D143" s="517">
        <v>23200</v>
      </c>
      <c r="E143" s="472">
        <f t="shared" si="7"/>
        <v>198000</v>
      </c>
      <c r="F143" s="427">
        <f>SUM(F144:F158)</f>
        <v>168000</v>
      </c>
      <c r="G143" s="552">
        <f>SUM(G144:G158)</f>
        <v>30000</v>
      </c>
    </row>
    <row r="144" spans="1:10" ht="15.75" thickBot="1">
      <c r="A144" s="664" t="s">
        <v>24</v>
      </c>
      <c r="B144" s="574" t="s">
        <v>147</v>
      </c>
      <c r="C144" s="558">
        <v>1500</v>
      </c>
      <c r="D144" s="559">
        <v>1500</v>
      </c>
      <c r="E144" s="540">
        <f t="shared" si="7"/>
        <v>33500</v>
      </c>
      <c r="F144" s="488">
        <v>33500</v>
      </c>
      <c r="G144" s="393">
        <v>0</v>
      </c>
      <c r="H144" s="313" t="s">
        <v>148</v>
      </c>
      <c r="J144" s="302"/>
    </row>
    <row r="145" spans="1:10" ht="15.75" thickBot="1">
      <c r="A145" s="658"/>
      <c r="B145" s="621" t="s">
        <v>103</v>
      </c>
      <c r="C145" s="358"/>
      <c r="D145" s="359"/>
      <c r="E145" s="614">
        <f t="shared" si="7"/>
        <v>16000</v>
      </c>
      <c r="F145" s="337">
        <f>14000+17000-15000</f>
        <v>16000</v>
      </c>
      <c r="G145" s="319">
        <v>0</v>
      </c>
      <c r="H145" s="313" t="s">
        <v>151</v>
      </c>
      <c r="J145" s="302"/>
    </row>
    <row r="146" spans="1:10" ht="15.75" thickBot="1">
      <c r="A146" s="659"/>
      <c r="B146" s="594" t="s">
        <v>67</v>
      </c>
      <c r="C146" s="358"/>
      <c r="D146" s="359"/>
      <c r="E146" s="614">
        <f t="shared" si="7"/>
        <v>10000</v>
      </c>
      <c r="F146" s="337">
        <f>15000-5000</f>
        <v>10000</v>
      </c>
      <c r="G146" s="319">
        <v>0</v>
      </c>
      <c r="H146" s="356" t="s">
        <v>143</v>
      </c>
      <c r="J146" s="302"/>
    </row>
    <row r="147" spans="1:10" ht="15.75" thickBot="1">
      <c r="A147" s="659"/>
      <c r="B147" s="413" t="s">
        <v>146</v>
      </c>
      <c r="C147" s="560"/>
      <c r="D147" s="561"/>
      <c r="E147" s="540">
        <f t="shared" si="7"/>
        <v>5000</v>
      </c>
      <c r="F147" s="435">
        <v>5000</v>
      </c>
      <c r="G147" s="382">
        <v>0</v>
      </c>
      <c r="H147" s="356" t="s">
        <v>157</v>
      </c>
      <c r="J147" s="302"/>
    </row>
    <row r="148" spans="1:10" ht="30.75" thickBot="1">
      <c r="A148" s="659"/>
      <c r="B148" s="357" t="s">
        <v>95</v>
      </c>
      <c r="C148" s="358"/>
      <c r="D148" s="359"/>
      <c r="E148" s="338">
        <f t="shared" si="7"/>
        <v>110000</v>
      </c>
      <c r="F148" s="337">
        <f>60000+20000</f>
        <v>80000</v>
      </c>
      <c r="G148" s="319">
        <f>0+30000</f>
        <v>30000</v>
      </c>
      <c r="H148" s="356" t="s">
        <v>150</v>
      </c>
      <c r="J148" s="302"/>
    </row>
    <row r="149" spans="1:10" ht="12.75" hidden="1">
      <c r="A149" s="810" t="s">
        <v>6</v>
      </c>
      <c r="B149" s="785" t="s">
        <v>7</v>
      </c>
      <c r="C149" s="370" t="s">
        <v>18</v>
      </c>
      <c r="D149" s="371" t="s">
        <v>8</v>
      </c>
      <c r="E149" s="842" t="s">
        <v>96</v>
      </c>
      <c r="F149" s="789" t="s">
        <v>19</v>
      </c>
      <c r="G149" s="790"/>
      <c r="H149" s="356"/>
      <c r="J149" s="302"/>
    </row>
    <row r="150" spans="1:10" ht="12.75" hidden="1">
      <c r="A150" s="854"/>
      <c r="B150" s="786"/>
      <c r="C150" s="372" t="s">
        <v>0</v>
      </c>
      <c r="D150" s="373" t="s">
        <v>14</v>
      </c>
      <c r="E150" s="843"/>
      <c r="F150" s="791" t="s">
        <v>54</v>
      </c>
      <c r="G150" s="793" t="s">
        <v>55</v>
      </c>
      <c r="H150" s="356"/>
      <c r="J150" s="302"/>
    </row>
    <row r="151" spans="1:10" ht="12.75" hidden="1">
      <c r="A151" s="854"/>
      <c r="B151" s="786"/>
      <c r="C151" s="372"/>
      <c r="D151" s="373" t="s">
        <v>15</v>
      </c>
      <c r="E151" s="844"/>
      <c r="F151" s="845"/>
      <c r="G151" s="846"/>
      <c r="H151" s="356"/>
      <c r="J151" s="302"/>
    </row>
    <row r="152" spans="1:10" ht="15.75">
      <c r="A152" s="665"/>
      <c r="B152" s="576" t="s">
        <v>58</v>
      </c>
      <c r="C152" s="538"/>
      <c r="D152" s="539"/>
      <c r="E152" s="540">
        <f aca="true" t="shared" si="8" ref="E152:E158">SUM(F152:G152)</f>
        <v>12000</v>
      </c>
      <c r="F152" s="546">
        <f>12000</f>
        <v>12000</v>
      </c>
      <c r="G152" s="393">
        <v>0</v>
      </c>
      <c r="H152" s="356" t="s">
        <v>152</v>
      </c>
      <c r="J152" s="302"/>
    </row>
    <row r="153" spans="1:10" ht="15.75" hidden="1" thickBot="1">
      <c r="A153" s="659"/>
      <c r="B153" s="577" t="s">
        <v>58</v>
      </c>
      <c r="C153" s="560"/>
      <c r="D153" s="561"/>
      <c r="E153" s="401">
        <f t="shared" si="8"/>
        <v>0</v>
      </c>
      <c r="F153" s="435">
        <v>0</v>
      </c>
      <c r="G153" s="382">
        <v>0</v>
      </c>
      <c r="H153" s="356" t="s">
        <v>69</v>
      </c>
      <c r="J153" s="302"/>
    </row>
    <row r="154" spans="1:10" ht="18.75" customHeight="1" thickBot="1">
      <c r="A154" s="659"/>
      <c r="B154" s="575" t="s">
        <v>153</v>
      </c>
      <c r="C154" s="560"/>
      <c r="D154" s="561"/>
      <c r="E154" s="401">
        <f t="shared" si="8"/>
        <v>5500</v>
      </c>
      <c r="F154" s="435">
        <f>5000+500</f>
        <v>5500</v>
      </c>
      <c r="G154" s="382">
        <v>0</v>
      </c>
      <c r="H154" s="356" t="s">
        <v>154</v>
      </c>
      <c r="J154" s="302"/>
    </row>
    <row r="155" spans="1:10" ht="15.75" hidden="1" thickBot="1">
      <c r="A155" s="659"/>
      <c r="B155" s="577" t="s">
        <v>94</v>
      </c>
      <c r="C155" s="560"/>
      <c r="D155" s="561"/>
      <c r="E155" s="401">
        <f t="shared" si="8"/>
        <v>0</v>
      </c>
      <c r="F155" s="435">
        <v>0</v>
      </c>
      <c r="G155" s="382">
        <v>0</v>
      </c>
      <c r="J155" s="302"/>
    </row>
    <row r="156" spans="1:10" ht="31.5" customHeight="1" hidden="1">
      <c r="A156" s="659"/>
      <c r="B156" s="577" t="s">
        <v>102</v>
      </c>
      <c r="C156" s="560"/>
      <c r="D156" s="561"/>
      <c r="E156" s="401">
        <f t="shared" si="8"/>
        <v>0</v>
      </c>
      <c r="F156" s="435">
        <v>0</v>
      </c>
      <c r="G156" s="382">
        <v>0</v>
      </c>
      <c r="J156" s="302"/>
    </row>
    <row r="157" spans="1:10" ht="18" customHeight="1" thickBot="1">
      <c r="A157" s="579"/>
      <c r="B157" s="578" t="s">
        <v>73</v>
      </c>
      <c r="C157" s="560"/>
      <c r="D157" s="561"/>
      <c r="E157" s="449">
        <f t="shared" si="8"/>
        <v>6000</v>
      </c>
      <c r="F157" s="448">
        <v>6000</v>
      </c>
      <c r="G157" s="495">
        <v>0</v>
      </c>
      <c r="H157" s="313" t="s">
        <v>161</v>
      </c>
      <c r="J157" s="302"/>
    </row>
    <row r="158" spans="1:9" s="302" customFormat="1" ht="13.5" hidden="1" thickBot="1">
      <c r="A158" s="579"/>
      <c r="B158" s="579" t="s">
        <v>28</v>
      </c>
      <c r="C158" s="580">
        <v>1500</v>
      </c>
      <c r="D158" s="581">
        <v>1500</v>
      </c>
      <c r="E158" s="582">
        <f t="shared" si="8"/>
        <v>0</v>
      </c>
      <c r="F158" s="583">
        <v>0</v>
      </c>
      <c r="G158" s="584">
        <v>0</v>
      </c>
      <c r="H158" s="312"/>
      <c r="I158" s="312"/>
    </row>
    <row r="159" spans="1:9" s="302" customFormat="1" ht="5.25" customHeight="1">
      <c r="A159" s="451"/>
      <c r="B159" s="451"/>
      <c r="C159" s="365"/>
      <c r="D159" s="366"/>
      <c r="E159" s="366"/>
      <c r="F159" s="365"/>
      <c r="G159" s="365"/>
      <c r="H159" s="312"/>
      <c r="I159" s="312"/>
    </row>
    <row r="160" spans="1:9" s="302" customFormat="1" ht="16.5" thickBot="1">
      <c r="A160" s="853" t="s">
        <v>17</v>
      </c>
      <c r="B160" s="853"/>
      <c r="C160" s="585"/>
      <c r="D160" s="508"/>
      <c r="E160" s="363">
        <f>SUM(E112+E97+E90+E81+E49+E7+E132+E143+E87+E103+E110+E78)</f>
        <v>5586897.85</v>
      </c>
      <c r="F160" s="363">
        <f>SUM(F112+F97+F90+F81+F49+F7+F132+F143+F87+F103+F110+F78)</f>
        <v>4756897.85</v>
      </c>
      <c r="G160" s="363">
        <f>SUM(G112+G97+G90+G81+G49+G7+G132+G143+G87+G103)</f>
        <v>830000</v>
      </c>
      <c r="H160" s="312"/>
      <c r="I160" s="312"/>
    </row>
    <row r="161" spans="1:4" ht="13.5" thickTop="1">
      <c r="A161" s="666"/>
      <c r="B161" s="666"/>
      <c r="D161" s="366" t="s">
        <v>16</v>
      </c>
    </row>
    <row r="162" spans="1:6" ht="15">
      <c r="A162" s="666"/>
      <c r="B162" s="666"/>
      <c r="C162" s="586"/>
      <c r="F162" s="365" t="s">
        <v>188</v>
      </c>
    </row>
    <row r="163" spans="1:7" ht="12.75">
      <c r="A163" s="666"/>
      <c r="B163" s="666"/>
      <c r="E163" s="365"/>
      <c r="F163" s="365" t="s">
        <v>189</v>
      </c>
      <c r="G163" s="365">
        <f>G77</f>
        <v>800000</v>
      </c>
    </row>
    <row r="164" spans="1:7" ht="12.75">
      <c r="A164" s="303"/>
      <c r="B164" s="303"/>
      <c r="E164" s="365"/>
      <c r="F164" s="365" t="s">
        <v>187</v>
      </c>
      <c r="G164" s="365">
        <f>G148</f>
        <v>30000</v>
      </c>
    </row>
    <row r="166" spans="1:10" ht="12.75">
      <c r="A166" s="303"/>
      <c r="B166" s="303"/>
      <c r="J166" s="303" t="s">
        <v>39</v>
      </c>
    </row>
    <row r="167" spans="1:10" ht="12.75">
      <c r="A167" s="303"/>
      <c r="B167" s="303"/>
      <c r="G167" s="587">
        <f>SUM(F160:G160)</f>
        <v>5586897.85</v>
      </c>
      <c r="J167" s="302">
        <f>SUM(G167)-E160</f>
        <v>0</v>
      </c>
    </row>
  </sheetData>
  <sheetProtection/>
  <mergeCells count="50">
    <mergeCell ref="E2:G2"/>
    <mergeCell ref="A4:A6"/>
    <mergeCell ref="B4:B6"/>
    <mergeCell ref="E4:E6"/>
    <mergeCell ref="F4:G4"/>
    <mergeCell ref="F5:F6"/>
    <mergeCell ref="G5:G6"/>
    <mergeCell ref="B10:B13"/>
    <mergeCell ref="E10:E13"/>
    <mergeCell ref="F10:F13"/>
    <mergeCell ref="B18:B19"/>
    <mergeCell ref="E18:E19"/>
    <mergeCell ref="F18:F19"/>
    <mergeCell ref="A34:A36"/>
    <mergeCell ref="B34:B36"/>
    <mergeCell ref="E34:E36"/>
    <mergeCell ref="F34:G34"/>
    <mergeCell ref="F35:F36"/>
    <mergeCell ref="G35:G36"/>
    <mergeCell ref="A67:A69"/>
    <mergeCell ref="B67:B69"/>
    <mergeCell ref="E67:E69"/>
    <mergeCell ref="F67:G67"/>
    <mergeCell ref="F68:F69"/>
    <mergeCell ref="G68:G69"/>
    <mergeCell ref="A93:A95"/>
    <mergeCell ref="B93:B95"/>
    <mergeCell ref="E93:E95"/>
    <mergeCell ref="F93:G93"/>
    <mergeCell ref="F94:F95"/>
    <mergeCell ref="G94:G95"/>
    <mergeCell ref="A115:A117"/>
    <mergeCell ref="B115:B117"/>
    <mergeCell ref="E115:E117"/>
    <mergeCell ref="F115:G115"/>
    <mergeCell ref="F116:F117"/>
    <mergeCell ref="G116:G117"/>
    <mergeCell ref="A129:A131"/>
    <mergeCell ref="B129:B131"/>
    <mergeCell ref="E129:E131"/>
    <mergeCell ref="F129:G129"/>
    <mergeCell ref="F130:F131"/>
    <mergeCell ref="G130:G131"/>
    <mergeCell ref="A160:B160"/>
    <mergeCell ref="A149:A151"/>
    <mergeCell ref="B149:B151"/>
    <mergeCell ref="E149:E151"/>
    <mergeCell ref="F149:G149"/>
    <mergeCell ref="F150:F151"/>
    <mergeCell ref="G150:G151"/>
  </mergeCells>
  <conditionalFormatting sqref="I1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{680327e6-6a6e-451a-a364-81d3053d076a}</x14:id>
        </ext>
      </extLst>
    </cfRule>
  </conditionalFormatting>
  <conditionalFormatting sqref="A7:A4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{19001420-6a40-4249-8847-3bd4c2bb107b}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70" r:id="rId1"/>
  <rowBreaks count="1" manualBreakCount="1">
    <brk id="88" max="6" man="1"/>
  </rowBreaks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0327e6-6a6e-451a-a364-81d3053d07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</xm:sqref>
        </x14:conditionalFormatting>
        <x14:conditionalFormatting xmlns:xm="http://schemas.microsoft.com/office/excel/2006/main">
          <x14:cfRule type="dataBar" id="{19001420-6a40-4249-8847-3bd4c2bb10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35">
      <selection activeCell="B173" sqref="B173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E1" s="858" t="s">
        <v>209</v>
      </c>
      <c r="F1" s="858"/>
      <c r="G1" s="858"/>
    </row>
    <row r="2" spans="1:7" ht="18">
      <c r="A2" s="284"/>
      <c r="B2" s="364" t="s">
        <v>167</v>
      </c>
      <c r="E2" s="859" t="s">
        <v>210</v>
      </c>
      <c r="F2" s="860"/>
      <c r="G2" s="860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SUM(E8:E49)</f>
        <v>613610</v>
      </c>
      <c r="F7" s="377">
        <f>SUM(F8:F49)</f>
        <v>613610</v>
      </c>
      <c r="G7" s="377">
        <f>SUM(G8:G48)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 aca="true" t="shared" si="0" ref="E14:E19"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305" customFormat="1" ht="18.75" customHeight="1">
      <c r="A15" s="209"/>
      <c r="B15" s="315" t="s">
        <v>207</v>
      </c>
      <c r="C15" s="316"/>
      <c r="D15" s="317"/>
      <c r="E15" s="318">
        <f t="shared" si="0"/>
        <v>11000</v>
      </c>
      <c r="F15" s="603">
        <f>0+11000</f>
        <v>11000</v>
      </c>
      <c r="G15" s="351">
        <v>0</v>
      </c>
      <c r="H15" s="313" t="s">
        <v>208</v>
      </c>
      <c r="I15" s="200"/>
    </row>
    <row r="16" spans="1:9" s="305" customFormat="1" ht="20.25" customHeight="1">
      <c r="A16" s="320"/>
      <c r="B16" s="383" t="s">
        <v>126</v>
      </c>
      <c r="C16" s="379"/>
      <c r="D16" s="384"/>
      <c r="E16" s="381">
        <f t="shared" si="0"/>
        <v>65000</v>
      </c>
      <c r="F16" s="382">
        <v>65000</v>
      </c>
      <c r="G16" s="393">
        <v>0</v>
      </c>
      <c r="H16" s="207"/>
      <c r="I16" s="200"/>
    </row>
    <row r="17" spans="1:9" s="305" customFormat="1" ht="20.25" customHeight="1">
      <c r="A17" s="320"/>
      <c r="B17" s="383" t="s">
        <v>127</v>
      </c>
      <c r="C17" s="379"/>
      <c r="D17" s="380"/>
      <c r="E17" s="381">
        <f t="shared" si="0"/>
        <v>334000</v>
      </c>
      <c r="F17" s="382">
        <f>100000-1700-1700+300000-20000-40000-10000+7400</f>
        <v>334000</v>
      </c>
      <c r="G17" s="382">
        <f>300000-300000</f>
        <v>0</v>
      </c>
      <c r="H17" s="207"/>
      <c r="I17" s="200"/>
    </row>
    <row r="18" spans="1:9" s="305" customFormat="1" ht="16.5" customHeight="1" hidden="1">
      <c r="A18" s="320"/>
      <c r="B18" s="378" t="s">
        <v>79</v>
      </c>
      <c r="C18" s="379"/>
      <c r="D18" s="384"/>
      <c r="E18" s="381">
        <f t="shared" si="0"/>
        <v>0</v>
      </c>
      <c r="F18" s="382">
        <v>0</v>
      </c>
      <c r="G18" s="382">
        <v>0</v>
      </c>
      <c r="H18" s="207"/>
      <c r="I18" s="200"/>
    </row>
    <row r="19" spans="1:9" s="305" customFormat="1" ht="11.25" customHeight="1" hidden="1">
      <c r="A19" s="320"/>
      <c r="B19" s="847" t="s">
        <v>80</v>
      </c>
      <c r="C19" s="379"/>
      <c r="D19" s="384"/>
      <c r="E19" s="849">
        <f t="shared" si="0"/>
        <v>0</v>
      </c>
      <c r="F19" s="851">
        <v>0</v>
      </c>
      <c r="G19" s="387">
        <v>0</v>
      </c>
      <c r="H19" s="207"/>
      <c r="I19" s="200"/>
    </row>
    <row r="20" spans="1:9" s="305" customFormat="1" ht="10.5" customHeight="1" hidden="1">
      <c r="A20" s="320"/>
      <c r="B20" s="848"/>
      <c r="C20" s="379"/>
      <c r="D20" s="384"/>
      <c r="E20" s="850"/>
      <c r="F20" s="852"/>
      <c r="G20" s="392"/>
      <c r="H20" s="207"/>
      <c r="I20" s="200"/>
    </row>
    <row r="21" spans="1:9" s="305" customFormat="1" ht="16.5" customHeight="1" hidden="1">
      <c r="A21" s="320"/>
      <c r="B21" s="394" t="s">
        <v>74</v>
      </c>
      <c r="C21" s="379"/>
      <c r="D21" s="384"/>
      <c r="E21" s="381">
        <f aca="true" t="shared" si="1" ref="E21:E31">SUM(F21:G21)</f>
        <v>0</v>
      </c>
      <c r="F21" s="382">
        <v>0</v>
      </c>
      <c r="G21" s="393">
        <v>0</v>
      </c>
      <c r="H21" s="207"/>
      <c r="I21" s="200"/>
    </row>
    <row r="22" spans="1:9" s="305" customFormat="1" ht="14.25" customHeight="1" hidden="1">
      <c r="A22" s="323"/>
      <c r="B22" s="604" t="s">
        <v>75</v>
      </c>
      <c r="C22" s="379"/>
      <c r="D22" s="384"/>
      <c r="E22" s="381">
        <f t="shared" si="1"/>
        <v>0</v>
      </c>
      <c r="F22" s="382">
        <v>0</v>
      </c>
      <c r="G22" s="382">
        <v>0</v>
      </c>
      <c r="H22" s="207"/>
      <c r="I22" s="200"/>
    </row>
    <row r="23" spans="1:9" s="305" customFormat="1" ht="16.5" customHeight="1" hidden="1">
      <c r="A23" s="323"/>
      <c r="B23" s="605" t="s">
        <v>81</v>
      </c>
      <c r="C23" s="379">
        <v>30000</v>
      </c>
      <c r="D23" s="380">
        <v>30000</v>
      </c>
      <c r="E23" s="381">
        <f t="shared" si="1"/>
        <v>0</v>
      </c>
      <c r="F23" s="382">
        <v>0</v>
      </c>
      <c r="G23" s="382">
        <v>0</v>
      </c>
      <c r="H23" s="207"/>
      <c r="I23" s="200"/>
    </row>
    <row r="24" spans="1:9" s="305" customFormat="1" ht="19.5" customHeight="1" hidden="1">
      <c r="A24" s="323"/>
      <c r="B24" s="395" t="s">
        <v>104</v>
      </c>
      <c r="C24" s="379">
        <v>83000</v>
      </c>
      <c r="D24" s="380">
        <v>83000</v>
      </c>
      <c r="E24" s="381">
        <f t="shared" si="1"/>
        <v>0</v>
      </c>
      <c r="F24" s="382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395" t="s">
        <v>76</v>
      </c>
      <c r="C25" s="379"/>
      <c r="D25" s="380"/>
      <c r="E25" s="381">
        <f t="shared" si="1"/>
        <v>0</v>
      </c>
      <c r="F25" s="379">
        <v>0</v>
      </c>
      <c r="G25" s="382">
        <v>0</v>
      </c>
      <c r="H25" s="207"/>
      <c r="I25" s="200"/>
    </row>
    <row r="26" spans="1:9" s="305" customFormat="1" ht="16.5" customHeight="1" hidden="1">
      <c r="A26" s="323"/>
      <c r="B26" s="606" t="s">
        <v>77</v>
      </c>
      <c r="C26" s="396"/>
      <c r="D26" s="607"/>
      <c r="E26" s="381">
        <f t="shared" si="1"/>
        <v>0</v>
      </c>
      <c r="F26" s="396">
        <v>0</v>
      </c>
      <c r="G26" s="387">
        <v>0</v>
      </c>
      <c r="H26" s="207"/>
      <c r="I26" s="200"/>
    </row>
    <row r="27" spans="1:9" s="305" customFormat="1" ht="15" hidden="1">
      <c r="A27" s="323"/>
      <c r="B27" s="395" t="s">
        <v>82</v>
      </c>
      <c r="C27" s="379"/>
      <c r="D27" s="380"/>
      <c r="E27" s="381">
        <f t="shared" si="1"/>
        <v>0</v>
      </c>
      <c r="F27" s="379">
        <v>0</v>
      </c>
      <c r="G27" s="382">
        <v>0</v>
      </c>
      <c r="H27" s="207"/>
      <c r="I27" s="200"/>
    </row>
    <row r="28" spans="1:9" s="305" customFormat="1" ht="27.75" customHeight="1" hidden="1">
      <c r="A28" s="323"/>
      <c r="B28" s="395" t="s">
        <v>50</v>
      </c>
      <c r="C28" s="397">
        <v>1000</v>
      </c>
      <c r="D28" s="398">
        <v>1000</v>
      </c>
      <c r="E28" s="399">
        <f t="shared" si="1"/>
        <v>0</v>
      </c>
      <c r="F28" s="397">
        <v>0</v>
      </c>
      <c r="G28" s="393"/>
      <c r="H28" s="207"/>
      <c r="I28" s="200"/>
    </row>
    <row r="29" spans="1:9" s="305" customFormat="1" ht="16.5" customHeight="1" hidden="1">
      <c r="A29" s="323"/>
      <c r="B29" s="395" t="s">
        <v>78</v>
      </c>
      <c r="C29" s="379"/>
      <c r="D29" s="380"/>
      <c r="E29" s="381">
        <f t="shared" si="1"/>
        <v>0</v>
      </c>
      <c r="F29" s="379">
        <v>0</v>
      </c>
      <c r="G29" s="382">
        <v>0</v>
      </c>
      <c r="H29" s="207"/>
      <c r="I29" s="200"/>
    </row>
    <row r="30" spans="1:7" ht="15.75" customHeight="1" hidden="1">
      <c r="A30" s="323"/>
      <c r="B30" s="608" t="s">
        <v>45</v>
      </c>
      <c r="C30" s="396"/>
      <c r="D30" s="607"/>
      <c r="E30" s="400">
        <f t="shared" si="1"/>
        <v>0</v>
      </c>
      <c r="F30" s="396">
        <v>0</v>
      </c>
      <c r="G30" s="387">
        <v>0</v>
      </c>
    </row>
    <row r="31" spans="1:7" ht="20.25" customHeight="1">
      <c r="A31" s="323"/>
      <c r="B31" s="609" t="s">
        <v>57</v>
      </c>
      <c r="C31" s="610"/>
      <c r="D31" s="610"/>
      <c r="E31" s="401">
        <f t="shared" si="1"/>
        <v>41054</v>
      </c>
      <c r="F31" s="610">
        <f>50000-1546-7400</f>
        <v>41054</v>
      </c>
      <c r="G31" s="382">
        <v>0</v>
      </c>
    </row>
    <row r="32" spans="1:7" ht="15" hidden="1">
      <c r="A32" s="323"/>
      <c r="B32" s="402"/>
      <c r="C32" s="403"/>
      <c r="D32" s="403"/>
      <c r="E32" s="404"/>
      <c r="F32" s="403"/>
      <c r="G32" s="405"/>
    </row>
    <row r="33" spans="1:7" ht="18" customHeight="1" hidden="1">
      <c r="A33" s="323"/>
      <c r="B33" s="402"/>
      <c r="C33" s="403"/>
      <c r="D33" s="403"/>
      <c r="E33" s="404"/>
      <c r="F33" s="403"/>
      <c r="G33" s="405"/>
    </row>
    <row r="34" spans="1:7" s="313" customFormat="1" ht="15" hidden="1">
      <c r="A34" s="323"/>
      <c r="B34" s="402"/>
      <c r="C34" s="403"/>
      <c r="D34" s="403"/>
      <c r="E34" s="404"/>
      <c r="F34" s="403"/>
      <c r="G34" s="405"/>
    </row>
    <row r="35" spans="1:7" s="313" customFormat="1" ht="12.75" customHeight="1" hidden="1">
      <c r="A35" s="747" t="s">
        <v>6</v>
      </c>
      <c r="B35" s="810" t="s">
        <v>7</v>
      </c>
      <c r="C35" s="406" t="s">
        <v>18</v>
      </c>
      <c r="D35" s="407" t="s">
        <v>8</v>
      </c>
      <c r="E35" s="813" t="s">
        <v>5</v>
      </c>
      <c r="F35" s="816" t="s">
        <v>19</v>
      </c>
      <c r="G35" s="817"/>
    </row>
    <row r="36" spans="1:7" s="313" customFormat="1" ht="15.75" hidden="1">
      <c r="A36" s="777"/>
      <c r="B36" s="811"/>
      <c r="C36" s="408" t="s">
        <v>0</v>
      </c>
      <c r="D36" s="409" t="s">
        <v>14</v>
      </c>
      <c r="E36" s="814"/>
      <c r="F36" s="818" t="s">
        <v>13</v>
      </c>
      <c r="G36" s="820" t="s">
        <v>20</v>
      </c>
    </row>
    <row r="37" spans="1:7" s="313" customFormat="1" ht="16.5" hidden="1" thickBot="1">
      <c r="A37" s="777"/>
      <c r="B37" s="812"/>
      <c r="C37" s="410"/>
      <c r="D37" s="411" t="s">
        <v>15</v>
      </c>
      <c r="E37" s="815"/>
      <c r="F37" s="819"/>
      <c r="G37" s="821"/>
    </row>
    <row r="38" spans="1:7" s="313" customFormat="1" ht="15">
      <c r="A38" s="325"/>
      <c r="B38" s="412" t="s">
        <v>128</v>
      </c>
      <c r="C38" s="379"/>
      <c r="D38" s="380"/>
      <c r="E38" s="381">
        <f aca="true" t="shared" si="2" ref="E38:E45">SUM(F38:G38)</f>
        <v>66900</v>
      </c>
      <c r="F38" s="379">
        <v>66900</v>
      </c>
      <c r="G38" s="382">
        <v>0</v>
      </c>
    </row>
    <row r="39" spans="1:7" s="313" customFormat="1" ht="19.5" customHeight="1">
      <c r="A39" s="323"/>
      <c r="B39" s="412" t="s">
        <v>175</v>
      </c>
      <c r="C39" s="379"/>
      <c r="D39" s="380"/>
      <c r="E39" s="381">
        <f t="shared" si="2"/>
        <v>14056</v>
      </c>
      <c r="F39" s="379">
        <f>12510+1546</f>
        <v>14056</v>
      </c>
      <c r="G39" s="382">
        <v>0</v>
      </c>
    </row>
    <row r="40" spans="1:7" s="313" customFormat="1" ht="15" customHeight="1" hidden="1">
      <c r="A40" s="323"/>
      <c r="B40" s="412" t="s">
        <v>83</v>
      </c>
      <c r="C40" s="379"/>
      <c r="D40" s="380"/>
      <c r="E40" s="381">
        <f t="shared" si="2"/>
        <v>0</v>
      </c>
      <c r="F40" s="379">
        <v>0</v>
      </c>
      <c r="G40" s="382">
        <v>0</v>
      </c>
    </row>
    <row r="41" spans="1:7" s="313" customFormat="1" ht="15" customHeight="1" hidden="1">
      <c r="A41" s="323"/>
      <c r="B41" s="413" t="s">
        <v>84</v>
      </c>
      <c r="C41" s="379"/>
      <c r="D41" s="380"/>
      <c r="E41" s="381">
        <f t="shared" si="2"/>
        <v>0</v>
      </c>
      <c r="F41" s="379">
        <v>0</v>
      </c>
      <c r="G41" s="382"/>
    </row>
    <row r="42" spans="1:7" s="313" customFormat="1" ht="15.75" customHeight="1" hidden="1" thickBot="1">
      <c r="A42" s="326"/>
      <c r="B42" s="414" t="s">
        <v>98</v>
      </c>
      <c r="C42" s="379">
        <v>44900</v>
      </c>
      <c r="D42" s="380">
        <v>44900</v>
      </c>
      <c r="E42" s="381">
        <f t="shared" si="2"/>
        <v>0</v>
      </c>
      <c r="F42" s="379">
        <v>0</v>
      </c>
      <c r="G42" s="382">
        <v>0</v>
      </c>
    </row>
    <row r="43" spans="1:7" s="313" customFormat="1" ht="13.5" customHeight="1" hidden="1">
      <c r="A43" s="320"/>
      <c r="B43" s="415" t="s">
        <v>1</v>
      </c>
      <c r="C43" s="379"/>
      <c r="D43" s="380"/>
      <c r="E43" s="381">
        <f t="shared" si="2"/>
        <v>0</v>
      </c>
      <c r="F43" s="379">
        <v>0</v>
      </c>
      <c r="G43" s="382">
        <v>0</v>
      </c>
    </row>
    <row r="44" spans="1:7" s="313" customFormat="1" ht="13.5" customHeight="1" hidden="1" thickBot="1">
      <c r="A44" s="327"/>
      <c r="B44" s="416" t="s">
        <v>2</v>
      </c>
      <c r="C44" s="379"/>
      <c r="D44" s="380"/>
      <c r="E44" s="400">
        <f t="shared" si="2"/>
        <v>0</v>
      </c>
      <c r="F44" s="396">
        <v>0</v>
      </c>
      <c r="G44" s="387"/>
    </row>
    <row r="45" spans="1:8" s="313" customFormat="1" ht="15" customHeight="1" hidden="1" thickBot="1">
      <c r="A45" s="215" t="s">
        <v>43</v>
      </c>
      <c r="B45" s="417" t="s">
        <v>71</v>
      </c>
      <c r="C45" s="403"/>
      <c r="D45" s="418"/>
      <c r="E45" s="381">
        <f t="shared" si="2"/>
        <v>0</v>
      </c>
      <c r="F45" s="379">
        <v>0</v>
      </c>
      <c r="G45" s="419">
        <v>0</v>
      </c>
      <c r="H45" s="313" t="s">
        <v>72</v>
      </c>
    </row>
    <row r="46" spans="1:7" s="313" customFormat="1" ht="16.5" customHeight="1" hidden="1">
      <c r="A46" s="320"/>
      <c r="B46" s="420"/>
      <c r="C46" s="403"/>
      <c r="D46" s="418"/>
      <c r="E46" s="418"/>
      <c r="F46" s="403"/>
      <c r="G46" s="405"/>
    </row>
    <row r="47" spans="1:7" s="313" customFormat="1" ht="15.75" customHeight="1" hidden="1" thickBot="1">
      <c r="A47" s="328"/>
      <c r="B47" s="421" t="s">
        <v>51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s="313" customFormat="1" ht="15.75" customHeight="1" hidden="1" thickBot="1">
      <c r="A48" s="328"/>
      <c r="B48" s="421" t="s">
        <v>52</v>
      </c>
      <c r="C48" s="403"/>
      <c r="D48" s="418"/>
      <c r="E48" s="422">
        <f>SUM(F48:G48)</f>
        <v>0</v>
      </c>
      <c r="F48" s="423">
        <v>0</v>
      </c>
      <c r="G48" s="424">
        <v>0</v>
      </c>
    </row>
    <row r="49" spans="1:7" s="313" customFormat="1" ht="15.75" thickBot="1">
      <c r="A49" s="328"/>
      <c r="B49" s="425" t="s">
        <v>176</v>
      </c>
      <c r="C49" s="403"/>
      <c r="D49" s="418"/>
      <c r="E49" s="381">
        <f>SUM(F49:G49)</f>
        <v>34000</v>
      </c>
      <c r="F49" s="379">
        <v>34000</v>
      </c>
      <c r="G49" s="382">
        <v>0</v>
      </c>
    </row>
    <row r="50" spans="1:7" s="313" customFormat="1" ht="18" customHeight="1" thickBot="1">
      <c r="A50" s="186" t="s">
        <v>11</v>
      </c>
      <c r="B50" s="426"/>
      <c r="C50" s="427"/>
      <c r="D50" s="428"/>
      <c r="E50" s="429">
        <f>SUM(E51:E71)+E73+E78</f>
        <v>2376938</v>
      </c>
      <c r="F50" s="429">
        <f>SUM(F51:F71)+F73+F78</f>
        <v>2376938</v>
      </c>
      <c r="G50" s="429">
        <f>SUM(G51:G71)+G73+G78</f>
        <v>0</v>
      </c>
    </row>
    <row r="51" spans="1:7" s="313" customFormat="1" ht="32.25" customHeight="1">
      <c r="A51" s="181" t="s">
        <v>3</v>
      </c>
      <c r="B51" s="430" t="s">
        <v>114</v>
      </c>
      <c r="C51" s="397"/>
      <c r="D51" s="431"/>
      <c r="E51" s="432">
        <f aca="true" t="shared" si="3" ref="E51:E67">SUM(F51:G51)</f>
        <v>500000</v>
      </c>
      <c r="F51" s="432">
        <f>0+500000</f>
        <v>500000</v>
      </c>
      <c r="G51" s="433">
        <f>500000-500000</f>
        <v>0</v>
      </c>
    </row>
    <row r="52" spans="1:7" s="313" customFormat="1" ht="33.75" customHeight="1">
      <c r="A52" s="217"/>
      <c r="B52" s="434" t="s">
        <v>168</v>
      </c>
      <c r="C52" s="435"/>
      <c r="D52" s="435"/>
      <c r="E52" s="401">
        <f t="shared" si="3"/>
        <v>10488</v>
      </c>
      <c r="F52" s="435">
        <v>10488</v>
      </c>
      <c r="G52" s="382">
        <v>0</v>
      </c>
    </row>
    <row r="53" spans="1:7" s="313" customFormat="1" ht="32.25" customHeight="1" thickBot="1">
      <c r="A53" s="218"/>
      <c r="B53" s="436" t="s">
        <v>184</v>
      </c>
      <c r="C53" s="437">
        <v>15000</v>
      </c>
      <c r="D53" s="438">
        <v>15000</v>
      </c>
      <c r="E53" s="439">
        <f t="shared" si="3"/>
        <v>50000</v>
      </c>
      <c r="F53" s="439">
        <v>50000</v>
      </c>
      <c r="G53" s="440">
        <v>0</v>
      </c>
    </row>
    <row r="54" spans="1:8" s="313" customFormat="1" ht="15.75" customHeight="1">
      <c r="A54" s="219" t="s">
        <v>44</v>
      </c>
      <c r="B54" s="441" t="s">
        <v>129</v>
      </c>
      <c r="C54" s="397">
        <v>15000</v>
      </c>
      <c r="D54" s="398">
        <v>15000</v>
      </c>
      <c r="E54" s="399">
        <f t="shared" si="3"/>
        <v>50000</v>
      </c>
      <c r="F54" s="442">
        <v>50000</v>
      </c>
      <c r="G54" s="443">
        <v>0</v>
      </c>
      <c r="H54" s="335"/>
    </row>
    <row r="55" spans="1:8" s="313" customFormat="1" ht="15" customHeight="1">
      <c r="A55" s="221"/>
      <c r="B55" s="413" t="s">
        <v>130</v>
      </c>
      <c r="C55" s="379"/>
      <c r="D55" s="380"/>
      <c r="E55" s="381">
        <f t="shared" si="3"/>
        <v>10000</v>
      </c>
      <c r="F55" s="444">
        <v>10000</v>
      </c>
      <c r="G55" s="445">
        <v>0</v>
      </c>
      <c r="H55" s="313" t="s">
        <v>131</v>
      </c>
    </row>
    <row r="56" spans="1:8" s="313" customFormat="1" ht="16.5" customHeight="1">
      <c r="A56" s="222"/>
      <c r="B56" s="394" t="s">
        <v>132</v>
      </c>
      <c r="C56" s="379"/>
      <c r="D56" s="380"/>
      <c r="E56" s="381">
        <f t="shared" si="3"/>
        <v>40000</v>
      </c>
      <c r="F56" s="444">
        <v>40000</v>
      </c>
      <c r="G56" s="445">
        <v>0</v>
      </c>
      <c r="H56" s="313" t="s">
        <v>133</v>
      </c>
    </row>
    <row r="57" spans="1:8" s="313" customFormat="1" ht="18" customHeight="1">
      <c r="A57" s="222"/>
      <c r="B57" s="394" t="s">
        <v>68</v>
      </c>
      <c r="C57" s="379"/>
      <c r="D57" s="380"/>
      <c r="E57" s="381">
        <f t="shared" si="3"/>
        <v>14000</v>
      </c>
      <c r="F57" s="444">
        <v>14000</v>
      </c>
      <c r="G57" s="445">
        <v>0</v>
      </c>
      <c r="H57" s="313" t="s">
        <v>134</v>
      </c>
    </row>
    <row r="58" spans="1:8" s="313" customFormat="1" ht="16.5" customHeight="1">
      <c r="A58" s="222"/>
      <c r="B58" s="588" t="s">
        <v>149</v>
      </c>
      <c r="C58" s="337"/>
      <c r="D58" s="337"/>
      <c r="E58" s="338">
        <f t="shared" si="3"/>
        <v>62500</v>
      </c>
      <c r="F58" s="337">
        <f>66000-3500</f>
        <v>62500</v>
      </c>
      <c r="G58" s="319">
        <v>0</v>
      </c>
      <c r="H58" s="313" t="s">
        <v>135</v>
      </c>
    </row>
    <row r="59" spans="1:7" s="313" customFormat="1" ht="18" customHeight="1">
      <c r="A59" s="223"/>
      <c r="B59" s="434" t="s">
        <v>123</v>
      </c>
      <c r="C59" s="435"/>
      <c r="D59" s="435"/>
      <c r="E59" s="401">
        <f t="shared" si="3"/>
        <v>25000</v>
      </c>
      <c r="F59" s="435">
        <v>25000</v>
      </c>
      <c r="G59" s="382">
        <v>0</v>
      </c>
    </row>
    <row r="60" spans="1:7" s="313" customFormat="1" ht="16.5" customHeight="1">
      <c r="A60" s="223"/>
      <c r="B60" s="434" t="s">
        <v>115</v>
      </c>
      <c r="C60" s="435"/>
      <c r="D60" s="435"/>
      <c r="E60" s="401">
        <f t="shared" si="3"/>
        <v>15000</v>
      </c>
      <c r="F60" s="435">
        <v>15000</v>
      </c>
      <c r="G60" s="382">
        <v>0</v>
      </c>
    </row>
    <row r="61" spans="1:7" s="313" customFormat="1" ht="16.5" customHeight="1">
      <c r="A61" s="223"/>
      <c r="B61" s="434" t="s">
        <v>182</v>
      </c>
      <c r="C61" s="435"/>
      <c r="D61" s="435"/>
      <c r="E61" s="401">
        <f t="shared" si="3"/>
        <v>381000</v>
      </c>
      <c r="F61" s="435">
        <v>381000</v>
      </c>
      <c r="G61" s="382">
        <v>0</v>
      </c>
    </row>
    <row r="62" spans="1:8" s="313" customFormat="1" ht="16.5" customHeight="1">
      <c r="A62" s="223"/>
      <c r="B62" s="434" t="s">
        <v>124</v>
      </c>
      <c r="C62" s="435">
        <v>12500</v>
      </c>
      <c r="D62" s="435">
        <v>12500</v>
      </c>
      <c r="E62" s="401">
        <f t="shared" si="3"/>
        <v>0</v>
      </c>
      <c r="F62" s="435">
        <v>0</v>
      </c>
      <c r="G62" s="382">
        <v>0</v>
      </c>
      <c r="H62" s="313" t="s">
        <v>70</v>
      </c>
    </row>
    <row r="63" spans="1:7" s="313" customFormat="1" ht="16.5" customHeight="1">
      <c r="A63" s="223"/>
      <c r="B63" s="434" t="s">
        <v>180</v>
      </c>
      <c r="C63" s="435"/>
      <c r="D63" s="435"/>
      <c r="E63" s="401">
        <f t="shared" si="3"/>
        <v>3950</v>
      </c>
      <c r="F63" s="435">
        <v>3950</v>
      </c>
      <c r="G63" s="382"/>
    </row>
    <row r="64" spans="1:7" s="313" customFormat="1" ht="16.5" customHeight="1">
      <c r="A64" s="223"/>
      <c r="B64" s="434" t="s">
        <v>181</v>
      </c>
      <c r="C64" s="435"/>
      <c r="D64" s="435"/>
      <c r="E64" s="401">
        <f t="shared" si="3"/>
        <v>0</v>
      </c>
      <c r="F64" s="435">
        <f>3050-3050</f>
        <v>0</v>
      </c>
      <c r="G64" s="382"/>
    </row>
    <row r="65" spans="1:7" s="313" customFormat="1" ht="18" customHeight="1">
      <c r="A65" s="223"/>
      <c r="B65" s="434" t="s">
        <v>136</v>
      </c>
      <c r="C65" s="435">
        <v>12500</v>
      </c>
      <c r="D65" s="435">
        <v>12500</v>
      </c>
      <c r="E65" s="401">
        <f t="shared" si="3"/>
        <v>0</v>
      </c>
      <c r="F65" s="435">
        <f>105000-105000</f>
        <v>0</v>
      </c>
      <c r="G65" s="382">
        <v>0</v>
      </c>
    </row>
    <row r="66" spans="1:7" s="313" customFormat="1" ht="17.25" customHeight="1">
      <c r="A66" s="223"/>
      <c r="B66" s="434" t="s">
        <v>170</v>
      </c>
      <c r="C66" s="435"/>
      <c r="D66" s="435"/>
      <c r="E66" s="401">
        <f t="shared" si="3"/>
        <v>360000</v>
      </c>
      <c r="F66" s="435">
        <f>350000+10000</f>
        <v>360000</v>
      </c>
      <c r="G66" s="382">
        <v>0</v>
      </c>
    </row>
    <row r="67" spans="1:7" s="313" customFormat="1" ht="16.5" customHeight="1">
      <c r="A67" s="223"/>
      <c r="B67" s="434" t="s">
        <v>171</v>
      </c>
      <c r="C67" s="435"/>
      <c r="D67" s="435"/>
      <c r="E67" s="401">
        <f t="shared" si="3"/>
        <v>0</v>
      </c>
      <c r="F67" s="435">
        <f>160000-160000</f>
        <v>0</v>
      </c>
      <c r="G67" s="382">
        <v>0</v>
      </c>
    </row>
    <row r="68" spans="1:7" s="313" customFormat="1" ht="16.5" customHeight="1" hidden="1">
      <c r="A68" s="754" t="s">
        <v>6</v>
      </c>
      <c r="B68" s="822" t="s">
        <v>7</v>
      </c>
      <c r="C68" s="446" t="s">
        <v>18</v>
      </c>
      <c r="D68" s="446" t="s">
        <v>8</v>
      </c>
      <c r="E68" s="824" t="s">
        <v>47</v>
      </c>
      <c r="F68" s="826" t="s">
        <v>19</v>
      </c>
      <c r="G68" s="827"/>
    </row>
    <row r="69" spans="1:7" s="313" customFormat="1" ht="16.5" customHeight="1" hidden="1">
      <c r="A69" s="777"/>
      <c r="B69" s="823"/>
      <c r="C69" s="446" t="s">
        <v>0</v>
      </c>
      <c r="D69" s="446" t="s">
        <v>14</v>
      </c>
      <c r="E69" s="825"/>
      <c r="F69" s="828" t="s">
        <v>13</v>
      </c>
      <c r="G69" s="829" t="s">
        <v>20</v>
      </c>
    </row>
    <row r="70" spans="1:7" s="313" customFormat="1" ht="16.5" customHeight="1" hidden="1">
      <c r="A70" s="778"/>
      <c r="B70" s="823"/>
      <c r="C70" s="446"/>
      <c r="D70" s="446" t="s">
        <v>15</v>
      </c>
      <c r="E70" s="825"/>
      <c r="F70" s="825"/>
      <c r="G70" s="830"/>
    </row>
    <row r="71" spans="1:7" s="313" customFormat="1" ht="16.5" customHeight="1" hidden="1">
      <c r="A71" s="325"/>
      <c r="B71" s="447" t="s">
        <v>105</v>
      </c>
      <c r="C71" s="448"/>
      <c r="D71" s="448"/>
      <c r="E71" s="449">
        <f>SUM(F71:G71)</f>
        <v>0</v>
      </c>
      <c r="F71" s="448">
        <v>0</v>
      </c>
      <c r="G71" s="450"/>
    </row>
    <row r="72" spans="1:7" s="313" customFormat="1" ht="19.5" customHeight="1" hidden="1">
      <c r="A72" s="223"/>
      <c r="B72" s="451"/>
      <c r="C72" s="365"/>
      <c r="D72" s="366"/>
      <c r="E72" s="366"/>
      <c r="F72" s="365"/>
      <c r="G72" s="365"/>
    </row>
    <row r="73" spans="1:7" s="313" customFormat="1" ht="39.75" customHeight="1" hidden="1">
      <c r="A73" s="182" t="s">
        <v>29</v>
      </c>
      <c r="B73" s="415" t="s">
        <v>34</v>
      </c>
      <c r="C73" s="452"/>
      <c r="D73" s="453"/>
      <c r="E73" s="442">
        <f>SUM(F73:G73)</f>
        <v>0</v>
      </c>
      <c r="F73" s="443">
        <f>SUM(F74:F77)</f>
        <v>0</v>
      </c>
      <c r="G73" s="443">
        <v>0</v>
      </c>
    </row>
    <row r="74" spans="1:7" s="313" customFormat="1" ht="16.5" customHeight="1" hidden="1">
      <c r="A74" s="224"/>
      <c r="B74" s="454" t="s">
        <v>30</v>
      </c>
      <c r="C74" s="455"/>
      <c r="D74" s="456"/>
      <c r="E74" s="457"/>
      <c r="F74" s="458">
        <v>0</v>
      </c>
      <c r="G74" s="458">
        <v>0</v>
      </c>
    </row>
    <row r="75" spans="1:7" s="313" customFormat="1" ht="16.5" customHeight="1" hidden="1">
      <c r="A75" s="208"/>
      <c r="B75" s="459" t="s">
        <v>31</v>
      </c>
      <c r="C75" s="460"/>
      <c r="D75" s="461"/>
      <c r="E75" s="462"/>
      <c r="F75" s="463">
        <v>0</v>
      </c>
      <c r="G75" s="463">
        <v>0</v>
      </c>
    </row>
    <row r="76" spans="1:7" s="313" customFormat="1" ht="16.5" customHeight="1" hidden="1">
      <c r="A76" s="208"/>
      <c r="B76" s="459" t="s">
        <v>32</v>
      </c>
      <c r="C76" s="460"/>
      <c r="D76" s="461"/>
      <c r="E76" s="462"/>
      <c r="F76" s="463">
        <v>0</v>
      </c>
      <c r="G76" s="463">
        <v>0</v>
      </c>
    </row>
    <row r="77" spans="1:7" s="313" customFormat="1" ht="16.5" customHeight="1" hidden="1">
      <c r="A77" s="225"/>
      <c r="B77" s="464" t="s">
        <v>33</v>
      </c>
      <c r="C77" s="465"/>
      <c r="D77" s="466"/>
      <c r="E77" s="467"/>
      <c r="F77" s="468">
        <v>0</v>
      </c>
      <c r="G77" s="468">
        <v>0</v>
      </c>
    </row>
    <row r="78" spans="1:7" s="313" customFormat="1" ht="16.5" customHeight="1" thickBot="1">
      <c r="A78" s="225"/>
      <c r="B78" s="336" t="s">
        <v>177</v>
      </c>
      <c r="C78" s="337"/>
      <c r="D78" s="337"/>
      <c r="E78" s="338">
        <f aca="true" t="shared" si="4" ref="E78:E85">SUM(F78:G78)</f>
        <v>855000</v>
      </c>
      <c r="F78" s="337">
        <f>865000-800000-10000+800000</f>
        <v>855000</v>
      </c>
      <c r="G78" s="319">
        <f>0+800000-800000</f>
        <v>0</v>
      </c>
    </row>
    <row r="79" spans="1:7" s="313" customFormat="1" ht="16.5" customHeight="1" thickBot="1">
      <c r="A79" s="185" t="s">
        <v>137</v>
      </c>
      <c r="B79" s="469"/>
      <c r="C79" s="470"/>
      <c r="D79" s="471"/>
      <c r="E79" s="472">
        <f t="shared" si="4"/>
        <v>0</v>
      </c>
      <c r="F79" s="473">
        <f>SUM(F80:F81)</f>
        <v>0</v>
      </c>
      <c r="G79" s="474">
        <f>SUM(G80:G82)</f>
        <v>0</v>
      </c>
    </row>
    <row r="80" spans="1:7" s="313" customFormat="1" ht="30" customHeight="1" thickBot="1">
      <c r="A80" s="632" t="s">
        <v>138</v>
      </c>
      <c r="B80" s="425" t="s">
        <v>139</v>
      </c>
      <c r="C80" s="465"/>
      <c r="D80" s="466"/>
      <c r="E80" s="399">
        <f t="shared" si="4"/>
        <v>0</v>
      </c>
      <c r="F80" s="475">
        <f>15000-15000</f>
        <v>0</v>
      </c>
      <c r="G80" s="424">
        <v>0</v>
      </c>
    </row>
    <row r="81" spans="1:7" s="313" customFormat="1" ht="19.5" customHeight="1" thickBot="1">
      <c r="A81" s="633"/>
      <c r="B81" s="425" t="s">
        <v>140</v>
      </c>
      <c r="C81" s="465"/>
      <c r="D81" s="466"/>
      <c r="E81" s="399">
        <f t="shared" si="4"/>
        <v>0</v>
      </c>
      <c r="F81" s="475">
        <f>20000-20000</f>
        <v>0</v>
      </c>
      <c r="G81" s="424">
        <v>0</v>
      </c>
    </row>
    <row r="82" spans="1:7" s="313" customFormat="1" ht="15.75" customHeight="1" thickBot="1">
      <c r="A82" s="634" t="s">
        <v>36</v>
      </c>
      <c r="B82" s="476"/>
      <c r="C82" s="477"/>
      <c r="D82" s="477"/>
      <c r="E82" s="478">
        <f t="shared" si="4"/>
        <v>16500</v>
      </c>
      <c r="F82" s="479">
        <f>SUM(F83:F85)</f>
        <v>16500</v>
      </c>
      <c r="G82" s="479">
        <f>SUM(G83:G97)</f>
        <v>0</v>
      </c>
    </row>
    <row r="83" spans="1:7" s="313" customFormat="1" ht="17.25" customHeight="1" thickBot="1">
      <c r="A83" s="635" t="s">
        <v>4</v>
      </c>
      <c r="B83" s="480" t="s">
        <v>169</v>
      </c>
      <c r="C83" s="481"/>
      <c r="D83" s="482"/>
      <c r="E83" s="487">
        <f t="shared" si="4"/>
        <v>5100</v>
      </c>
      <c r="F83" s="488">
        <v>5100</v>
      </c>
      <c r="G83" s="485">
        <v>0</v>
      </c>
    </row>
    <row r="84" spans="1:7" s="313" customFormat="1" ht="15" customHeight="1" thickBot="1">
      <c r="A84" s="636"/>
      <c r="B84" s="672" t="s">
        <v>172</v>
      </c>
      <c r="C84" s="673"/>
      <c r="D84" s="674"/>
      <c r="E84" s="676">
        <f t="shared" si="4"/>
        <v>1400</v>
      </c>
      <c r="F84" s="350">
        <f>45000-25000-5000-13600</f>
        <v>1400</v>
      </c>
      <c r="G84" s="675">
        <v>0</v>
      </c>
    </row>
    <row r="85" spans="1:7" s="313" customFormat="1" ht="22.5" customHeight="1" thickBot="1">
      <c r="A85" s="637" t="s">
        <v>106</v>
      </c>
      <c r="B85" s="486" t="s">
        <v>125</v>
      </c>
      <c r="C85" s="481"/>
      <c r="D85" s="482"/>
      <c r="E85" s="487">
        <f t="shared" si="4"/>
        <v>10000</v>
      </c>
      <c r="F85" s="488">
        <v>10000</v>
      </c>
      <c r="G85" s="485">
        <v>0</v>
      </c>
    </row>
    <row r="86" spans="1:7" s="313" customFormat="1" ht="15" customHeight="1" hidden="1">
      <c r="A86" s="636"/>
      <c r="B86" s="489"/>
      <c r="C86" s="490"/>
      <c r="D86" s="490"/>
      <c r="E86" s="491"/>
      <c r="F86" s="492"/>
      <c r="G86" s="463"/>
    </row>
    <row r="87" spans="1:7" s="313" customFormat="1" ht="15" customHeight="1" hidden="1">
      <c r="A87" s="636"/>
      <c r="B87" s="489"/>
      <c r="C87" s="490"/>
      <c r="D87" s="490"/>
      <c r="E87" s="491"/>
      <c r="F87" s="492"/>
      <c r="G87" s="463"/>
    </row>
    <row r="88" spans="1:7" s="313" customFormat="1" ht="26.25" customHeight="1" thickBot="1">
      <c r="A88" s="634" t="s">
        <v>66</v>
      </c>
      <c r="B88" s="476"/>
      <c r="C88" s="477"/>
      <c r="D88" s="477"/>
      <c r="E88" s="478">
        <f aca="true" t="shared" si="5" ref="E88:E93">SUM(F88:G88)</f>
        <v>58600</v>
      </c>
      <c r="F88" s="479">
        <f>SUM(F89:F90)</f>
        <v>58600</v>
      </c>
      <c r="G88" s="479">
        <f>SUM(G89:G99)</f>
        <v>0</v>
      </c>
    </row>
    <row r="89" spans="1:7" s="313" customFormat="1" ht="31.5" customHeight="1" hidden="1">
      <c r="A89" s="638" t="s">
        <v>48</v>
      </c>
      <c r="B89" s="493" t="s">
        <v>49</v>
      </c>
      <c r="C89" s="437"/>
      <c r="D89" s="438"/>
      <c r="E89" s="494">
        <f t="shared" si="5"/>
        <v>0</v>
      </c>
      <c r="F89" s="437">
        <v>0</v>
      </c>
      <c r="G89" s="495">
        <v>0</v>
      </c>
    </row>
    <row r="90" spans="1:8" s="313" customFormat="1" ht="15.75" thickBot="1">
      <c r="A90" s="638" t="s">
        <v>65</v>
      </c>
      <c r="B90" s="677" t="s">
        <v>173</v>
      </c>
      <c r="C90" s="678"/>
      <c r="D90" s="679"/>
      <c r="E90" s="680">
        <f t="shared" si="5"/>
        <v>58600</v>
      </c>
      <c r="F90" s="678">
        <f>35000+25000-1400</f>
        <v>58600</v>
      </c>
      <c r="G90" s="681">
        <v>0</v>
      </c>
      <c r="H90" s="313" t="s">
        <v>109</v>
      </c>
    </row>
    <row r="91" spans="1:7" s="313" customFormat="1" ht="14.25" customHeight="1" thickBot="1">
      <c r="A91" s="634" t="s">
        <v>60</v>
      </c>
      <c r="B91" s="469"/>
      <c r="C91" s="470"/>
      <c r="D91" s="471"/>
      <c r="E91" s="472">
        <f t="shared" si="5"/>
        <v>342</v>
      </c>
      <c r="F91" s="473">
        <f>SUM(F92)</f>
        <v>342</v>
      </c>
      <c r="G91" s="474">
        <f>SUM(G92:G93)</f>
        <v>0</v>
      </c>
    </row>
    <row r="92" spans="1:7" s="313" customFormat="1" ht="16.5" customHeight="1" thickBot="1">
      <c r="A92" s="633" t="s">
        <v>61</v>
      </c>
      <c r="B92" s="425" t="s">
        <v>62</v>
      </c>
      <c r="C92" s="465"/>
      <c r="D92" s="466"/>
      <c r="E92" s="399">
        <f t="shared" si="5"/>
        <v>342</v>
      </c>
      <c r="F92" s="475">
        <f>342+10000-10000</f>
        <v>342</v>
      </c>
      <c r="G92" s="424">
        <v>0</v>
      </c>
    </row>
    <row r="93" spans="1:7" s="313" customFormat="1" ht="28.5" customHeight="1" hidden="1">
      <c r="A93" s="638" t="s">
        <v>48</v>
      </c>
      <c r="B93" s="493" t="s">
        <v>49</v>
      </c>
      <c r="C93" s="437"/>
      <c r="D93" s="438"/>
      <c r="E93" s="494">
        <f t="shared" si="5"/>
        <v>0</v>
      </c>
      <c r="F93" s="437">
        <v>0</v>
      </c>
      <c r="G93" s="495">
        <v>0</v>
      </c>
    </row>
    <row r="94" spans="1:7" s="313" customFormat="1" ht="12.75" customHeight="1" hidden="1">
      <c r="A94" s="855" t="s">
        <v>6</v>
      </c>
      <c r="B94" s="785" t="s">
        <v>7</v>
      </c>
      <c r="C94" s="406" t="s">
        <v>18</v>
      </c>
      <c r="D94" s="407" t="s">
        <v>8</v>
      </c>
      <c r="E94" s="787" t="s">
        <v>96</v>
      </c>
      <c r="F94" s="834" t="s">
        <v>19</v>
      </c>
      <c r="G94" s="835"/>
    </row>
    <row r="95" spans="1:7" s="313" customFormat="1" ht="12.75" customHeight="1" hidden="1">
      <c r="A95" s="856"/>
      <c r="B95" s="831"/>
      <c r="C95" s="408" t="s">
        <v>0</v>
      </c>
      <c r="D95" s="409" t="s">
        <v>14</v>
      </c>
      <c r="E95" s="788"/>
      <c r="F95" s="836" t="s">
        <v>54</v>
      </c>
      <c r="G95" s="838" t="s">
        <v>55</v>
      </c>
    </row>
    <row r="96" spans="1:7" s="313" customFormat="1" ht="10.5" customHeight="1" hidden="1">
      <c r="A96" s="857"/>
      <c r="B96" s="832"/>
      <c r="C96" s="410"/>
      <c r="D96" s="411" t="s">
        <v>15</v>
      </c>
      <c r="E96" s="833"/>
      <c r="F96" s="837"/>
      <c r="G96" s="839"/>
    </row>
    <row r="97" spans="1:7" s="313" customFormat="1" ht="20.25" customHeight="1" hidden="1">
      <c r="A97" s="639"/>
      <c r="B97" s="496" t="s">
        <v>38</v>
      </c>
      <c r="C97" s="460"/>
      <c r="D97" s="461"/>
      <c r="E97" s="483">
        <f aca="true" t="shared" si="6" ref="E97:E115">SUM(F97:G97)</f>
        <v>0</v>
      </c>
      <c r="F97" s="484">
        <v>0</v>
      </c>
      <c r="G97" s="485">
        <v>0</v>
      </c>
    </row>
    <row r="98" spans="1:9" s="304" customFormat="1" ht="16.5" customHeight="1" thickBot="1">
      <c r="A98" s="634" t="s">
        <v>12</v>
      </c>
      <c r="B98" s="497"/>
      <c r="C98" s="498">
        <v>12500</v>
      </c>
      <c r="D98" s="499">
        <v>12500</v>
      </c>
      <c r="E98" s="472">
        <f t="shared" si="6"/>
        <v>2058387</v>
      </c>
      <c r="F98" s="500">
        <f>SUM(F99:F109)+F110</f>
        <v>2058387</v>
      </c>
      <c r="G98" s="474">
        <f>SUM(G99:G103)</f>
        <v>0</v>
      </c>
      <c r="H98" s="207"/>
      <c r="I98" s="207"/>
    </row>
    <row r="99" spans="1:9" s="304" customFormat="1" ht="18.75" customHeight="1">
      <c r="A99" s="640" t="s">
        <v>26</v>
      </c>
      <c r="B99" s="416" t="s">
        <v>101</v>
      </c>
      <c r="C99" s="501"/>
      <c r="D99" s="502"/>
      <c r="E99" s="381">
        <f t="shared" si="6"/>
        <v>550000</v>
      </c>
      <c r="F99" s="503">
        <v>550000</v>
      </c>
      <c r="G99" s="445">
        <v>0</v>
      </c>
      <c r="H99" s="207"/>
      <c r="I99" s="207"/>
    </row>
    <row r="100" spans="1:9" s="304" customFormat="1" ht="21" customHeight="1">
      <c r="A100" s="641"/>
      <c r="B100" s="416" t="s">
        <v>112</v>
      </c>
      <c r="C100" s="501"/>
      <c r="D100" s="502"/>
      <c r="E100" s="381">
        <f t="shared" si="6"/>
        <v>1245687</v>
      </c>
      <c r="F100" s="503">
        <f>1205687+40000</f>
        <v>1245687</v>
      </c>
      <c r="G100" s="445">
        <v>0</v>
      </c>
      <c r="H100" s="207"/>
      <c r="I100" s="207"/>
    </row>
    <row r="101" spans="1:9" s="304" customFormat="1" ht="19.5" customHeight="1">
      <c r="A101" s="642"/>
      <c r="B101" s="415" t="s">
        <v>92</v>
      </c>
      <c r="C101" s="504">
        <v>47000</v>
      </c>
      <c r="D101" s="505">
        <v>47000</v>
      </c>
      <c r="E101" s="399">
        <f t="shared" si="6"/>
        <v>10000</v>
      </c>
      <c r="F101" s="506">
        <v>10000</v>
      </c>
      <c r="G101" s="443">
        <v>0</v>
      </c>
      <c r="H101" s="207"/>
      <c r="I101" s="207"/>
    </row>
    <row r="102" spans="1:9" s="304" customFormat="1" ht="18" customHeight="1" thickBot="1">
      <c r="A102" s="643"/>
      <c r="B102" s="507" t="s">
        <v>122</v>
      </c>
      <c r="C102" s="508"/>
      <c r="D102" s="508"/>
      <c r="E102" s="399">
        <f t="shared" si="6"/>
        <v>7000</v>
      </c>
      <c r="F102" s="506">
        <v>7000</v>
      </c>
      <c r="G102" s="443"/>
      <c r="H102" s="207"/>
      <c r="I102" s="207"/>
    </row>
    <row r="103" spans="1:9" s="304" customFormat="1" ht="17.25" customHeight="1">
      <c r="A103" s="644" t="s">
        <v>27</v>
      </c>
      <c r="B103" s="415" t="s">
        <v>174</v>
      </c>
      <c r="C103" s="501"/>
      <c r="D103" s="502"/>
      <c r="E103" s="444">
        <f t="shared" si="6"/>
        <v>240000</v>
      </c>
      <c r="F103" s="503">
        <f>210000+30000</f>
        <v>240000</v>
      </c>
      <c r="G103" s="445">
        <v>0</v>
      </c>
      <c r="H103" s="207"/>
      <c r="I103" s="207"/>
    </row>
    <row r="104" spans="1:7" ht="15.75" hidden="1">
      <c r="A104" s="645" t="s">
        <v>63</v>
      </c>
      <c r="B104" s="416"/>
      <c r="C104" s="379"/>
      <c r="D104" s="380"/>
      <c r="E104" s="509">
        <f t="shared" si="6"/>
        <v>0</v>
      </c>
      <c r="F104" s="510">
        <f>SUM(F105)</f>
        <v>0</v>
      </c>
      <c r="G104" s="511">
        <f>SUM(G105)</f>
        <v>0</v>
      </c>
    </row>
    <row r="105" spans="1:7" ht="24" customHeight="1" hidden="1">
      <c r="A105" s="646" t="s">
        <v>64</v>
      </c>
      <c r="B105" s="493" t="s">
        <v>87</v>
      </c>
      <c r="C105" s="437"/>
      <c r="D105" s="438"/>
      <c r="E105" s="512">
        <f t="shared" si="6"/>
        <v>0</v>
      </c>
      <c r="F105" s="439">
        <v>0</v>
      </c>
      <c r="G105" s="440">
        <v>0</v>
      </c>
    </row>
    <row r="106" spans="1:7" ht="24" customHeight="1" hidden="1">
      <c r="A106" s="647"/>
      <c r="B106" s="416" t="s">
        <v>110</v>
      </c>
      <c r="C106" s="501"/>
      <c r="D106" s="502"/>
      <c r="E106" s="444">
        <f t="shared" si="6"/>
        <v>0</v>
      </c>
      <c r="F106" s="503">
        <v>0</v>
      </c>
      <c r="G106" s="513">
        <v>0</v>
      </c>
    </row>
    <row r="107" spans="1:7" ht="16.5" customHeight="1" hidden="1">
      <c r="A107" s="648"/>
      <c r="B107" s="416" t="s">
        <v>111</v>
      </c>
      <c r="C107" s="501"/>
      <c r="D107" s="502"/>
      <c r="E107" s="444">
        <f t="shared" si="6"/>
        <v>0</v>
      </c>
      <c r="F107" s="503">
        <v>0</v>
      </c>
      <c r="G107" s="445">
        <v>0</v>
      </c>
    </row>
    <row r="108" spans="1:7" ht="18" customHeight="1" hidden="1">
      <c r="A108" s="649" t="s">
        <v>99</v>
      </c>
      <c r="B108" s="416" t="s">
        <v>100</v>
      </c>
      <c r="C108" s="501"/>
      <c r="D108" s="502"/>
      <c r="E108" s="444">
        <f t="shared" si="6"/>
        <v>0</v>
      </c>
      <c r="F108" s="503">
        <v>0</v>
      </c>
      <c r="G108" s="445">
        <v>0</v>
      </c>
    </row>
    <row r="109" spans="1:7" ht="18" customHeight="1" hidden="1">
      <c r="A109" s="650"/>
      <c r="B109" s="415" t="s">
        <v>92</v>
      </c>
      <c r="C109" s="504">
        <v>47000</v>
      </c>
      <c r="D109" s="505">
        <v>47000</v>
      </c>
      <c r="E109" s="399">
        <f t="shared" si="6"/>
        <v>0</v>
      </c>
      <c r="F109" s="506">
        <v>0</v>
      </c>
      <c r="G109" s="443">
        <v>0</v>
      </c>
    </row>
    <row r="110" spans="1:7" ht="18" customHeight="1" thickBot="1">
      <c r="A110" s="650" t="s">
        <v>178</v>
      </c>
      <c r="B110" s="496" t="s">
        <v>179</v>
      </c>
      <c r="C110" s="514"/>
      <c r="D110" s="515"/>
      <c r="E110" s="444">
        <f t="shared" si="6"/>
        <v>5700</v>
      </c>
      <c r="F110" s="503">
        <v>5700</v>
      </c>
      <c r="G110" s="445">
        <v>0</v>
      </c>
    </row>
    <row r="111" spans="1:7" ht="18" customHeight="1" thickBot="1">
      <c r="A111" s="634" t="s">
        <v>107</v>
      </c>
      <c r="B111" s="497"/>
      <c r="C111" s="498">
        <v>12500</v>
      </c>
      <c r="D111" s="499">
        <v>12500</v>
      </c>
      <c r="E111" s="472">
        <f t="shared" si="6"/>
        <v>50000</v>
      </c>
      <c r="F111" s="516">
        <f>SUM(F112)</f>
        <v>50000</v>
      </c>
      <c r="G111" s="474">
        <f>SUM(G112)</f>
        <v>0</v>
      </c>
    </row>
    <row r="112" spans="1:7" ht="20.25" customHeight="1" thickBot="1">
      <c r="A112" s="651" t="s">
        <v>108</v>
      </c>
      <c r="B112" s="416" t="s">
        <v>162</v>
      </c>
      <c r="C112" s="501"/>
      <c r="D112" s="502"/>
      <c r="E112" s="381">
        <f t="shared" si="6"/>
        <v>50000</v>
      </c>
      <c r="F112" s="503">
        <f>50000-50000+50000</f>
        <v>50000</v>
      </c>
      <c r="G112" s="445">
        <v>0</v>
      </c>
    </row>
    <row r="113" spans="1:7" ht="31.5" customHeight="1" thickBot="1">
      <c r="A113" s="652" t="s">
        <v>9</v>
      </c>
      <c r="B113" s="426"/>
      <c r="C113" s="427">
        <v>40000</v>
      </c>
      <c r="D113" s="517">
        <v>40000</v>
      </c>
      <c r="E113" s="472">
        <f t="shared" si="6"/>
        <v>143500</v>
      </c>
      <c r="F113" s="518">
        <f>SUM(F115:F120)</f>
        <v>143500</v>
      </c>
      <c r="G113" s="519">
        <f>SUM(G115:G120)</f>
        <v>0</v>
      </c>
    </row>
    <row r="114" spans="1:7" s="313" customFormat="1" ht="13.5" customHeight="1" hidden="1">
      <c r="A114" s="653"/>
      <c r="B114" s="520"/>
      <c r="C114" s="521"/>
      <c r="D114" s="522"/>
      <c r="E114" s="399">
        <f t="shared" si="6"/>
        <v>0</v>
      </c>
      <c r="F114" s="523"/>
      <c r="G114" s="511"/>
    </row>
    <row r="115" spans="1:7" s="313" customFormat="1" ht="19.5" customHeight="1" hidden="1">
      <c r="A115" s="654" t="s">
        <v>89</v>
      </c>
      <c r="B115" s="524" t="s">
        <v>91</v>
      </c>
      <c r="C115" s="525">
        <v>36475</v>
      </c>
      <c r="D115" s="526">
        <v>36475</v>
      </c>
      <c r="E115" s="494">
        <f t="shared" si="6"/>
        <v>0</v>
      </c>
      <c r="F115" s="527">
        <v>0</v>
      </c>
      <c r="G115" s="440">
        <v>0</v>
      </c>
    </row>
    <row r="116" spans="1:7" s="313" customFormat="1" ht="15.75" customHeight="1" hidden="1">
      <c r="A116" s="855" t="s">
        <v>6</v>
      </c>
      <c r="B116" s="785" t="s">
        <v>7</v>
      </c>
      <c r="C116" s="406" t="s">
        <v>18</v>
      </c>
      <c r="D116" s="407" t="s">
        <v>8</v>
      </c>
      <c r="E116" s="813" t="s">
        <v>37</v>
      </c>
      <c r="F116" s="816" t="s">
        <v>19</v>
      </c>
      <c r="G116" s="817"/>
    </row>
    <row r="117" spans="1:7" s="313" customFormat="1" ht="16.5" hidden="1" thickBot="1">
      <c r="A117" s="856"/>
      <c r="B117" s="831"/>
      <c r="C117" s="408" t="s">
        <v>0</v>
      </c>
      <c r="D117" s="409" t="s">
        <v>14</v>
      </c>
      <c r="E117" s="814"/>
      <c r="F117" s="818" t="s">
        <v>13</v>
      </c>
      <c r="G117" s="820" t="s">
        <v>20</v>
      </c>
    </row>
    <row r="118" spans="1:7" s="313" customFormat="1" ht="15" customHeight="1" hidden="1">
      <c r="A118" s="857"/>
      <c r="B118" s="832"/>
      <c r="C118" s="410"/>
      <c r="D118" s="411" t="s">
        <v>15</v>
      </c>
      <c r="E118" s="815"/>
      <c r="F118" s="819"/>
      <c r="G118" s="821"/>
    </row>
    <row r="119" spans="1:7" s="313" customFormat="1" ht="45" customHeight="1" hidden="1">
      <c r="A119" s="654" t="s">
        <v>40</v>
      </c>
      <c r="B119" s="528" t="s">
        <v>41</v>
      </c>
      <c r="C119" s="529">
        <v>36475</v>
      </c>
      <c r="D119" s="530">
        <v>36475</v>
      </c>
      <c r="E119" s="400">
        <f aca="true" t="shared" si="7" ref="E119:E129">SUM(F119:G119)</f>
        <v>0</v>
      </c>
      <c r="F119" s="531">
        <v>0</v>
      </c>
      <c r="G119" s="513">
        <v>0</v>
      </c>
    </row>
    <row r="120" spans="1:7" s="313" customFormat="1" ht="18" customHeight="1" thickBot="1">
      <c r="A120" s="655" t="s">
        <v>35</v>
      </c>
      <c r="B120" s="532"/>
      <c r="C120" s="533"/>
      <c r="D120" s="534"/>
      <c r="E120" s="535">
        <f t="shared" si="7"/>
        <v>143500</v>
      </c>
      <c r="F120" s="536">
        <f>SUM(F121:F129)</f>
        <v>143500</v>
      </c>
      <c r="G120" s="536">
        <f>SUM(G121:G129)</f>
        <v>0</v>
      </c>
    </row>
    <row r="121" spans="1:7" s="313" customFormat="1" ht="16.5" customHeight="1">
      <c r="A121" s="656"/>
      <c r="B121" s="537" t="s">
        <v>116</v>
      </c>
      <c r="C121" s="538">
        <v>36475</v>
      </c>
      <c r="D121" s="539">
        <v>36475</v>
      </c>
      <c r="E121" s="540">
        <f t="shared" si="7"/>
        <v>40000</v>
      </c>
      <c r="F121" s="488">
        <v>40000</v>
      </c>
      <c r="G121" s="393">
        <v>0</v>
      </c>
    </row>
    <row r="122" spans="1:7" s="313" customFormat="1" ht="16.5" customHeight="1">
      <c r="A122" s="657"/>
      <c r="B122" s="541" t="s">
        <v>117</v>
      </c>
      <c r="C122" s="542"/>
      <c r="D122" s="543"/>
      <c r="E122" s="401">
        <f t="shared" si="7"/>
        <v>15000</v>
      </c>
      <c r="F122" s="435">
        <v>15000</v>
      </c>
      <c r="G122" s="382">
        <v>0</v>
      </c>
    </row>
    <row r="123" spans="1:7" s="313" customFormat="1" ht="18" customHeight="1">
      <c r="A123" s="657"/>
      <c r="B123" s="541" t="s">
        <v>118</v>
      </c>
      <c r="C123" s="538"/>
      <c r="D123" s="539"/>
      <c r="E123" s="401">
        <f t="shared" si="7"/>
        <v>8000</v>
      </c>
      <c r="F123" s="488">
        <v>8000</v>
      </c>
      <c r="G123" s="393">
        <v>0</v>
      </c>
    </row>
    <row r="124" spans="1:7" s="313" customFormat="1" ht="15.75" customHeight="1">
      <c r="A124" s="657"/>
      <c r="B124" s="544" t="s">
        <v>90</v>
      </c>
      <c r="C124" s="538"/>
      <c r="D124" s="539"/>
      <c r="E124" s="401">
        <f t="shared" si="7"/>
        <v>8200</v>
      </c>
      <c r="F124" s="545">
        <v>8200</v>
      </c>
      <c r="G124" s="393">
        <v>0</v>
      </c>
    </row>
    <row r="125" spans="1:7" s="313" customFormat="1" ht="16.5" customHeight="1">
      <c r="A125" s="657"/>
      <c r="B125" s="541" t="s">
        <v>119</v>
      </c>
      <c r="C125" s="542"/>
      <c r="D125" s="543"/>
      <c r="E125" s="540">
        <f t="shared" si="7"/>
        <v>3000</v>
      </c>
      <c r="F125" s="546">
        <v>3000</v>
      </c>
      <c r="G125" s="382">
        <v>0</v>
      </c>
    </row>
    <row r="126" spans="1:8" s="313" customFormat="1" ht="16.5" customHeight="1">
      <c r="A126" s="657"/>
      <c r="B126" s="541" t="s">
        <v>144</v>
      </c>
      <c r="C126" s="542"/>
      <c r="D126" s="543"/>
      <c r="E126" s="540">
        <f t="shared" si="7"/>
        <v>29000</v>
      </c>
      <c r="F126" s="546">
        <v>29000</v>
      </c>
      <c r="G126" s="382"/>
      <c r="H126" s="313" t="s">
        <v>145</v>
      </c>
    </row>
    <row r="127" spans="1:7" s="313" customFormat="1" ht="17.25" customHeight="1">
      <c r="A127" s="657"/>
      <c r="B127" s="541" t="s">
        <v>121</v>
      </c>
      <c r="C127" s="542"/>
      <c r="D127" s="543"/>
      <c r="E127" s="540">
        <f t="shared" si="7"/>
        <v>3000</v>
      </c>
      <c r="F127" s="546">
        <v>3000</v>
      </c>
      <c r="G127" s="382"/>
    </row>
    <row r="128" spans="1:7" s="313" customFormat="1" ht="20.25" customHeight="1">
      <c r="A128" s="657"/>
      <c r="B128" s="541" t="s">
        <v>141</v>
      </c>
      <c r="C128" s="542"/>
      <c r="D128" s="543"/>
      <c r="E128" s="540">
        <f t="shared" si="7"/>
        <v>24500</v>
      </c>
      <c r="F128" s="546">
        <f>25000-500</f>
        <v>24500</v>
      </c>
      <c r="G128" s="382"/>
    </row>
    <row r="129" spans="1:8" s="313" customFormat="1" ht="20.25" customHeight="1" thickBot="1">
      <c r="A129" s="657"/>
      <c r="B129" s="547" t="s">
        <v>120</v>
      </c>
      <c r="C129" s="529"/>
      <c r="D129" s="530"/>
      <c r="E129" s="548">
        <f t="shared" si="7"/>
        <v>12800</v>
      </c>
      <c r="F129" s="549">
        <f>12300+500</f>
        <v>12800</v>
      </c>
      <c r="G129" s="387"/>
      <c r="H129" s="313" t="s">
        <v>160</v>
      </c>
    </row>
    <row r="130" spans="1:7" ht="15" customHeight="1">
      <c r="A130" s="855" t="s">
        <v>6</v>
      </c>
      <c r="B130" s="785" t="s">
        <v>7</v>
      </c>
      <c r="C130" s="406" t="s">
        <v>18</v>
      </c>
      <c r="D130" s="407" t="s">
        <v>8</v>
      </c>
      <c r="E130" s="813" t="s">
        <v>165</v>
      </c>
      <c r="F130" s="816" t="s">
        <v>19</v>
      </c>
      <c r="G130" s="817"/>
    </row>
    <row r="131" spans="1:7" ht="12.75" customHeight="1">
      <c r="A131" s="856"/>
      <c r="B131" s="831"/>
      <c r="C131" s="408" t="s">
        <v>0</v>
      </c>
      <c r="D131" s="409" t="s">
        <v>14</v>
      </c>
      <c r="E131" s="814"/>
      <c r="F131" s="791" t="s">
        <v>13</v>
      </c>
      <c r="G131" s="793" t="str">
        <f>G5</f>
        <v>środki zewnętrzne (zł)</v>
      </c>
    </row>
    <row r="132" spans="1:7" ht="18" customHeight="1" thickBot="1">
      <c r="A132" s="857"/>
      <c r="B132" s="832"/>
      <c r="C132" s="410"/>
      <c r="D132" s="411" t="s">
        <v>15</v>
      </c>
      <c r="E132" s="815"/>
      <c r="F132" s="840"/>
      <c r="G132" s="841"/>
    </row>
    <row r="133" spans="1:17" ht="28.5" customHeight="1" thickBot="1">
      <c r="A133" s="652" t="s">
        <v>21</v>
      </c>
      <c r="B133" s="426"/>
      <c r="C133" s="427">
        <v>23200</v>
      </c>
      <c r="D133" s="517">
        <v>23200</v>
      </c>
      <c r="E133" s="550">
        <f aca="true" t="shared" si="8" ref="E133:E149">SUM(F133:G133)</f>
        <v>58520.85</v>
      </c>
      <c r="F133" s="551">
        <f>SUM(F134:F143)</f>
        <v>58520.85</v>
      </c>
      <c r="G133" s="552">
        <f>SUM(G134:G142)</f>
        <v>0</v>
      </c>
      <c r="K133" s="307"/>
      <c r="L133" s="307"/>
      <c r="M133" s="308"/>
      <c r="N133" s="308"/>
      <c r="O133" s="309"/>
      <c r="P133" s="310"/>
      <c r="Q133" s="310"/>
    </row>
    <row r="134" spans="1:7" ht="25.5">
      <c r="A134" s="639" t="s">
        <v>22</v>
      </c>
      <c r="B134" s="553" t="s">
        <v>142</v>
      </c>
      <c r="C134" s="554">
        <v>1500</v>
      </c>
      <c r="D134" s="555">
        <v>1500</v>
      </c>
      <c r="E134" s="556">
        <f t="shared" si="8"/>
        <v>0</v>
      </c>
      <c r="F134" s="488">
        <f>75000-20000-55000</f>
        <v>0</v>
      </c>
      <c r="G134" s="393">
        <v>0</v>
      </c>
    </row>
    <row r="135" spans="1:8" ht="17.25" customHeight="1" thickBot="1">
      <c r="A135" s="658"/>
      <c r="B135" s="557" t="s">
        <v>155</v>
      </c>
      <c r="C135" s="558"/>
      <c r="D135" s="559"/>
      <c r="E135" s="556">
        <f t="shared" si="8"/>
        <v>35000</v>
      </c>
      <c r="F135" s="488">
        <v>35000</v>
      </c>
      <c r="G135" s="393">
        <v>0</v>
      </c>
      <c r="H135" s="313" t="s">
        <v>133</v>
      </c>
    </row>
    <row r="136" spans="1:7" ht="15.75" hidden="1" thickBot="1">
      <c r="A136" s="659"/>
      <c r="B136" s="416" t="s">
        <v>88</v>
      </c>
      <c r="C136" s="560"/>
      <c r="D136" s="561"/>
      <c r="E136" s="562">
        <f t="shared" si="8"/>
        <v>0</v>
      </c>
      <c r="F136" s="435">
        <v>0</v>
      </c>
      <c r="G136" s="382">
        <v>0</v>
      </c>
    </row>
    <row r="137" spans="1:8" ht="17.25" customHeight="1" thickBot="1">
      <c r="A137" s="659"/>
      <c r="B137" s="563" t="s">
        <v>158</v>
      </c>
      <c r="C137" s="560">
        <v>1500</v>
      </c>
      <c r="D137" s="561">
        <v>1500</v>
      </c>
      <c r="E137" s="556">
        <f t="shared" si="8"/>
        <v>7500</v>
      </c>
      <c r="F137" s="540">
        <v>7500</v>
      </c>
      <c r="G137" s="382">
        <v>0</v>
      </c>
      <c r="H137" s="313" t="s">
        <v>159</v>
      </c>
    </row>
    <row r="138" spans="1:7" ht="22.5" customHeight="1" hidden="1">
      <c r="A138" s="659"/>
      <c r="B138" s="564" t="s">
        <v>97</v>
      </c>
      <c r="C138" s="560"/>
      <c r="D138" s="561"/>
      <c r="E138" s="556">
        <f t="shared" si="8"/>
        <v>0</v>
      </c>
      <c r="F138" s="540">
        <v>0</v>
      </c>
      <c r="G138" s="382">
        <v>0</v>
      </c>
    </row>
    <row r="139" spans="1:7" ht="17.25" customHeight="1" hidden="1">
      <c r="A139" s="659"/>
      <c r="B139" s="564" t="s">
        <v>93</v>
      </c>
      <c r="C139" s="560"/>
      <c r="D139" s="561"/>
      <c r="E139" s="556">
        <f t="shared" si="8"/>
        <v>0</v>
      </c>
      <c r="F139" s="540">
        <v>0</v>
      </c>
      <c r="G139" s="382">
        <v>0</v>
      </c>
    </row>
    <row r="140" spans="1:7" ht="17.25" customHeight="1" hidden="1">
      <c r="A140" s="659"/>
      <c r="B140" s="565" t="s">
        <v>86</v>
      </c>
      <c r="C140" s="560"/>
      <c r="D140" s="561"/>
      <c r="E140" s="562">
        <f t="shared" si="8"/>
        <v>0</v>
      </c>
      <c r="F140" s="435">
        <v>0</v>
      </c>
      <c r="G140" s="382">
        <v>0</v>
      </c>
    </row>
    <row r="141" spans="1:7" ht="15.75" customHeight="1" hidden="1" thickBot="1">
      <c r="A141" s="659"/>
      <c r="B141" s="416" t="s">
        <v>113</v>
      </c>
      <c r="C141" s="560"/>
      <c r="D141" s="561"/>
      <c r="E141" s="562">
        <f t="shared" si="8"/>
        <v>0</v>
      </c>
      <c r="F141" s="435">
        <v>0</v>
      </c>
      <c r="G141" s="382">
        <v>0</v>
      </c>
    </row>
    <row r="142" spans="1:10" ht="15.75" thickBot="1">
      <c r="A142" s="579"/>
      <c r="B142" s="528" t="s">
        <v>200</v>
      </c>
      <c r="C142" s="566"/>
      <c r="D142" s="567"/>
      <c r="E142" s="660">
        <f t="shared" si="8"/>
        <v>11020.85</v>
      </c>
      <c r="F142" s="661">
        <f>0+11020.85</f>
        <v>11020.85</v>
      </c>
      <c r="G142" s="387">
        <v>0</v>
      </c>
      <c r="H142" s="335"/>
      <c r="J142" s="306"/>
    </row>
    <row r="143" spans="1:10" ht="30" customHeight="1" thickBot="1">
      <c r="A143" s="662" t="s">
        <v>59</v>
      </c>
      <c r="B143" s="570" t="s">
        <v>156</v>
      </c>
      <c r="C143" s="571">
        <v>1500</v>
      </c>
      <c r="D143" s="572">
        <v>1500</v>
      </c>
      <c r="E143" s="573">
        <f t="shared" si="8"/>
        <v>5000</v>
      </c>
      <c r="F143" s="448">
        <v>5000</v>
      </c>
      <c r="G143" s="495">
        <v>0</v>
      </c>
      <c r="H143" s="335" t="s">
        <v>157</v>
      </c>
      <c r="J143" s="306"/>
    </row>
    <row r="144" spans="1:7" ht="18" customHeight="1" thickBot="1">
      <c r="A144" s="663" t="s">
        <v>23</v>
      </c>
      <c r="B144" s="426"/>
      <c r="C144" s="427">
        <v>23200</v>
      </c>
      <c r="D144" s="517">
        <v>23200</v>
      </c>
      <c r="E144" s="472">
        <f t="shared" si="8"/>
        <v>210500</v>
      </c>
      <c r="F144" s="427">
        <f>SUM(F145:F159)</f>
        <v>180500</v>
      </c>
      <c r="G144" s="552">
        <f>SUM(G145:G159)</f>
        <v>30000</v>
      </c>
    </row>
    <row r="145" spans="1:10" ht="15.75" thickBot="1">
      <c r="A145" s="664" t="s">
        <v>24</v>
      </c>
      <c r="B145" s="574" t="s">
        <v>147</v>
      </c>
      <c r="C145" s="558">
        <v>1500</v>
      </c>
      <c r="D145" s="559">
        <v>1500</v>
      </c>
      <c r="E145" s="540">
        <f t="shared" si="8"/>
        <v>33500</v>
      </c>
      <c r="F145" s="488">
        <v>33500</v>
      </c>
      <c r="G145" s="393">
        <v>0</v>
      </c>
      <c r="H145" s="313" t="s">
        <v>148</v>
      </c>
      <c r="J145" s="302"/>
    </row>
    <row r="146" spans="1:10" ht="15.75" thickBot="1">
      <c r="A146" s="658"/>
      <c r="B146" s="621" t="s">
        <v>103</v>
      </c>
      <c r="C146" s="358"/>
      <c r="D146" s="359"/>
      <c r="E146" s="614">
        <f t="shared" si="8"/>
        <v>31000</v>
      </c>
      <c r="F146" s="337">
        <f>14000+17000-15000+13600+1400</f>
        <v>31000</v>
      </c>
      <c r="G146" s="319">
        <v>0</v>
      </c>
      <c r="H146" s="313" t="s">
        <v>151</v>
      </c>
      <c r="J146" s="302"/>
    </row>
    <row r="147" spans="1:10" ht="15.75" thickBot="1">
      <c r="A147" s="659"/>
      <c r="B147" s="594" t="s">
        <v>67</v>
      </c>
      <c r="C147" s="358"/>
      <c r="D147" s="359"/>
      <c r="E147" s="614">
        <f t="shared" si="8"/>
        <v>15000</v>
      </c>
      <c r="F147" s="337">
        <f>15000-5000+5000</f>
        <v>15000</v>
      </c>
      <c r="G147" s="319">
        <v>0</v>
      </c>
      <c r="H147" s="356" t="s">
        <v>143</v>
      </c>
      <c r="J147" s="302"/>
    </row>
    <row r="148" spans="1:10" ht="15.75" thickBot="1">
      <c r="A148" s="659"/>
      <c r="B148" s="413" t="s">
        <v>146</v>
      </c>
      <c r="C148" s="560"/>
      <c r="D148" s="561"/>
      <c r="E148" s="540">
        <f t="shared" si="8"/>
        <v>5000</v>
      </c>
      <c r="F148" s="435">
        <v>5000</v>
      </c>
      <c r="G148" s="382">
        <v>0</v>
      </c>
      <c r="H148" s="356" t="s">
        <v>157</v>
      </c>
      <c r="J148" s="302"/>
    </row>
    <row r="149" spans="1:10" ht="30.75" thickBot="1">
      <c r="A149" s="659"/>
      <c r="B149" s="357" t="s">
        <v>95</v>
      </c>
      <c r="C149" s="358"/>
      <c r="D149" s="359"/>
      <c r="E149" s="338">
        <f t="shared" si="8"/>
        <v>113500</v>
      </c>
      <c r="F149" s="337">
        <f>60000+20000+3500</f>
        <v>83500</v>
      </c>
      <c r="G149" s="319">
        <f>0+30000</f>
        <v>30000</v>
      </c>
      <c r="H149" s="356" t="s">
        <v>150</v>
      </c>
      <c r="J149" s="302"/>
    </row>
    <row r="150" spans="1:10" ht="12.75" hidden="1">
      <c r="A150" s="810" t="s">
        <v>6</v>
      </c>
      <c r="B150" s="785" t="s">
        <v>7</v>
      </c>
      <c r="C150" s="370" t="s">
        <v>18</v>
      </c>
      <c r="D150" s="371" t="s">
        <v>8</v>
      </c>
      <c r="E150" s="842" t="s">
        <v>96</v>
      </c>
      <c r="F150" s="789" t="s">
        <v>19</v>
      </c>
      <c r="G150" s="790"/>
      <c r="H150" s="356"/>
      <c r="J150" s="302"/>
    </row>
    <row r="151" spans="1:10" ht="12.75" hidden="1">
      <c r="A151" s="854"/>
      <c r="B151" s="786"/>
      <c r="C151" s="372" t="s">
        <v>0</v>
      </c>
      <c r="D151" s="373" t="s">
        <v>14</v>
      </c>
      <c r="E151" s="843"/>
      <c r="F151" s="791" t="s">
        <v>54</v>
      </c>
      <c r="G151" s="793" t="s">
        <v>55</v>
      </c>
      <c r="H151" s="356"/>
      <c r="J151" s="302"/>
    </row>
    <row r="152" spans="1:10" ht="12.75" hidden="1">
      <c r="A152" s="854"/>
      <c r="B152" s="786"/>
      <c r="C152" s="372"/>
      <c r="D152" s="373" t="s">
        <v>15</v>
      </c>
      <c r="E152" s="844"/>
      <c r="F152" s="845"/>
      <c r="G152" s="846"/>
      <c r="H152" s="356"/>
      <c r="J152" s="302"/>
    </row>
    <row r="153" spans="1:10" ht="17.25" customHeight="1">
      <c r="A153" s="665"/>
      <c r="B153" s="667" t="s">
        <v>58</v>
      </c>
      <c r="C153" s="668"/>
      <c r="D153" s="669"/>
      <c r="E153" s="614">
        <f aca="true" t="shared" si="9" ref="E153:E159">SUM(F153:G153)</f>
        <v>0</v>
      </c>
      <c r="F153" s="615">
        <f>12000-12000</f>
        <v>0</v>
      </c>
      <c r="G153" s="351">
        <v>0</v>
      </c>
      <c r="H153" s="356" t="s">
        <v>152</v>
      </c>
      <c r="J153" s="302"/>
    </row>
    <row r="154" spans="1:10" ht="15.75" thickBot="1">
      <c r="A154" s="659"/>
      <c r="B154" s="670" t="s">
        <v>206</v>
      </c>
      <c r="C154" s="358"/>
      <c r="D154" s="359"/>
      <c r="E154" s="338">
        <f t="shared" si="9"/>
        <v>1000</v>
      </c>
      <c r="F154" s="337">
        <f>0+1000</f>
        <v>1000</v>
      </c>
      <c r="G154" s="319">
        <v>0</v>
      </c>
      <c r="H154" s="671" t="s">
        <v>205</v>
      </c>
      <c r="J154" s="302"/>
    </row>
    <row r="155" spans="1:10" ht="18.75" customHeight="1" thickBot="1">
      <c r="A155" s="659"/>
      <c r="B155" s="575" t="s">
        <v>153</v>
      </c>
      <c r="C155" s="560"/>
      <c r="D155" s="561"/>
      <c r="E155" s="401">
        <f t="shared" si="9"/>
        <v>5500</v>
      </c>
      <c r="F155" s="435">
        <f>5000+500</f>
        <v>5500</v>
      </c>
      <c r="G155" s="382">
        <v>0</v>
      </c>
      <c r="H155" s="356" t="s">
        <v>154</v>
      </c>
      <c r="J155" s="302"/>
    </row>
    <row r="156" spans="1:10" ht="15.75" hidden="1" thickBot="1">
      <c r="A156" s="659"/>
      <c r="B156" s="577" t="s">
        <v>94</v>
      </c>
      <c r="C156" s="560"/>
      <c r="D156" s="561"/>
      <c r="E156" s="401">
        <f t="shared" si="9"/>
        <v>0</v>
      </c>
      <c r="F156" s="435">
        <v>0</v>
      </c>
      <c r="G156" s="382">
        <v>0</v>
      </c>
      <c r="J156" s="302"/>
    </row>
    <row r="157" spans="1:10" ht="31.5" customHeight="1" hidden="1">
      <c r="A157" s="659"/>
      <c r="B157" s="577" t="s">
        <v>102</v>
      </c>
      <c r="C157" s="560"/>
      <c r="D157" s="561"/>
      <c r="E157" s="401">
        <f t="shared" si="9"/>
        <v>0</v>
      </c>
      <c r="F157" s="435">
        <v>0</v>
      </c>
      <c r="G157" s="382">
        <v>0</v>
      </c>
      <c r="J157" s="302"/>
    </row>
    <row r="158" spans="1:10" ht="18" customHeight="1" thickBot="1">
      <c r="A158" s="579"/>
      <c r="B158" s="578" t="s">
        <v>73</v>
      </c>
      <c r="C158" s="560"/>
      <c r="D158" s="561"/>
      <c r="E158" s="449">
        <f t="shared" si="9"/>
        <v>6000</v>
      </c>
      <c r="F158" s="448">
        <v>6000</v>
      </c>
      <c r="G158" s="495">
        <v>0</v>
      </c>
      <c r="H158" s="313" t="s">
        <v>161</v>
      </c>
      <c r="J158" s="302"/>
    </row>
    <row r="159" spans="1:9" s="302" customFormat="1" ht="13.5" hidden="1" thickBot="1">
      <c r="A159" s="579"/>
      <c r="B159" s="579" t="s">
        <v>28</v>
      </c>
      <c r="C159" s="580">
        <v>1500</v>
      </c>
      <c r="D159" s="581">
        <v>1500</v>
      </c>
      <c r="E159" s="582">
        <f t="shared" si="9"/>
        <v>0</v>
      </c>
      <c r="F159" s="583">
        <v>0</v>
      </c>
      <c r="G159" s="584">
        <v>0</v>
      </c>
      <c r="H159" s="312"/>
      <c r="I159" s="312"/>
    </row>
    <row r="160" spans="1:9" s="302" customFormat="1" ht="5.25" customHeight="1">
      <c r="A160" s="451"/>
      <c r="B160" s="451"/>
      <c r="C160" s="365"/>
      <c r="D160" s="366"/>
      <c r="E160" s="366"/>
      <c r="F160" s="365"/>
      <c r="G160" s="365"/>
      <c r="H160" s="312"/>
      <c r="I160" s="312"/>
    </row>
    <row r="161" spans="1:9" s="302" customFormat="1" ht="16.5" thickBot="1">
      <c r="A161" s="853" t="s">
        <v>17</v>
      </c>
      <c r="B161" s="853"/>
      <c r="C161" s="585"/>
      <c r="D161" s="508"/>
      <c r="E161" s="363">
        <f>SUM(E113+E98+E91+E82+E50+E7+E133+E144+E88+E104+E111+E79)</f>
        <v>5586897.85</v>
      </c>
      <c r="F161" s="363">
        <f>SUM(F113+F98+F91+F82+F50+F7+F133+F144+F88+F104+F111+F79)</f>
        <v>5556897.85</v>
      </c>
      <c r="G161" s="363">
        <f>SUM(G113+G98+G91+G82+G50+G7+G133+G144+G88+G104)</f>
        <v>30000</v>
      </c>
      <c r="H161" s="312"/>
      <c r="I161" s="312"/>
    </row>
    <row r="162" spans="1:4" ht="13.5" thickTop="1">
      <c r="A162" s="666"/>
      <c r="B162" s="666"/>
      <c r="D162" s="366" t="s">
        <v>16</v>
      </c>
    </row>
    <row r="163" spans="1:6" ht="15">
      <c r="A163" s="666"/>
      <c r="B163" s="666"/>
      <c r="C163" s="586"/>
      <c r="F163" s="365" t="s">
        <v>188</v>
      </c>
    </row>
    <row r="164" spans="1:7" ht="12.75">
      <c r="A164" s="666"/>
      <c r="B164" s="666"/>
      <c r="E164" s="365"/>
      <c r="F164" s="365" t="s">
        <v>189</v>
      </c>
      <c r="G164" s="365">
        <f>G78</f>
        <v>0</v>
      </c>
    </row>
    <row r="165" spans="1:7" ht="12.75">
      <c r="A165" s="303"/>
      <c r="B165" s="303"/>
      <c r="E165" s="365"/>
      <c r="F165" s="365" t="s">
        <v>187</v>
      </c>
      <c r="G165" s="365">
        <f>G149</f>
        <v>30000</v>
      </c>
    </row>
    <row r="167" spans="1:10" ht="12.75">
      <c r="A167" s="303"/>
      <c r="B167" s="303"/>
      <c r="J167" s="303" t="s">
        <v>39</v>
      </c>
    </row>
    <row r="168" spans="1:10" ht="12.75">
      <c r="A168" s="303"/>
      <c r="B168" s="303"/>
      <c r="G168" s="587">
        <f>SUM(F161:G161)</f>
        <v>5586897.85</v>
      </c>
      <c r="J168" s="302">
        <f>SUM(G168)-E161</f>
        <v>0</v>
      </c>
    </row>
  </sheetData>
  <sheetProtection/>
  <mergeCells count="51">
    <mergeCell ref="E2:G2"/>
    <mergeCell ref="A4:A6"/>
    <mergeCell ref="B4:B6"/>
    <mergeCell ref="E4:E6"/>
    <mergeCell ref="F4:G4"/>
    <mergeCell ref="F5:F6"/>
    <mergeCell ref="G5:G6"/>
    <mergeCell ref="B10:B13"/>
    <mergeCell ref="E10:E13"/>
    <mergeCell ref="F10:F13"/>
    <mergeCell ref="B19:B20"/>
    <mergeCell ref="E19:E20"/>
    <mergeCell ref="F19:F20"/>
    <mergeCell ref="A35:A37"/>
    <mergeCell ref="B35:B37"/>
    <mergeCell ref="E35:E37"/>
    <mergeCell ref="F35:G35"/>
    <mergeCell ref="F36:F37"/>
    <mergeCell ref="G36:G37"/>
    <mergeCell ref="A68:A70"/>
    <mergeCell ref="B68:B70"/>
    <mergeCell ref="E68:E70"/>
    <mergeCell ref="F68:G68"/>
    <mergeCell ref="F69:F70"/>
    <mergeCell ref="G69:G70"/>
    <mergeCell ref="A94:A96"/>
    <mergeCell ref="B94:B96"/>
    <mergeCell ref="E94:E96"/>
    <mergeCell ref="F94:G94"/>
    <mergeCell ref="F95:F96"/>
    <mergeCell ref="G95:G96"/>
    <mergeCell ref="E130:E132"/>
    <mergeCell ref="F130:G130"/>
    <mergeCell ref="F131:F132"/>
    <mergeCell ref="G131:G132"/>
    <mergeCell ref="A116:A118"/>
    <mergeCell ref="B116:B118"/>
    <mergeCell ref="E116:E118"/>
    <mergeCell ref="F116:G116"/>
    <mergeCell ref="F117:F118"/>
    <mergeCell ref="G117:G118"/>
    <mergeCell ref="E1:G1"/>
    <mergeCell ref="A161:B161"/>
    <mergeCell ref="A150:A152"/>
    <mergeCell ref="B150:B152"/>
    <mergeCell ref="E150:E152"/>
    <mergeCell ref="F150:G150"/>
    <mergeCell ref="F151:F152"/>
    <mergeCell ref="G151:G152"/>
    <mergeCell ref="A130:A132"/>
    <mergeCell ref="B130:B132"/>
  </mergeCells>
  <conditionalFormatting sqref="I1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{dfcfda0b-bb85-406d-83cc-6e8dfa372d4a}</x14:id>
        </ext>
      </extLst>
    </cfRule>
  </conditionalFormatting>
  <conditionalFormatting sqref="A7:A4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{4ea98c3f-7d48-43b2-9374-2a3d2e78e243}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69" r:id="rId1"/>
  <rowBreaks count="1" manualBreakCount="1">
    <brk id="89" max="6" man="1"/>
  </rowBreaks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cfda0b-bb85-406d-83cc-6e8dfa372d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I18</xm:sqref>
        </x14:conditionalFormatting>
        <x14:conditionalFormatting xmlns:xm="http://schemas.microsoft.com/office/excel/2006/main">
          <x14:cfRule type="dataBar" id="{4ea98c3f-7d48-43b2-9374-2a3d2e78e2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45">
      <selection activeCell="B180" sqref="B180"/>
    </sheetView>
  </sheetViews>
  <sheetFormatPr defaultColWidth="9.00390625" defaultRowHeight="12.75"/>
  <cols>
    <col min="1" max="1" width="40.00390625" style="311" customWidth="1"/>
    <col min="2" max="2" width="104.00390625" style="451" customWidth="1"/>
    <col min="3" max="3" width="9.25390625" style="365" hidden="1" customWidth="1"/>
    <col min="4" max="4" width="1.25" style="366" hidden="1" customWidth="1"/>
    <col min="5" max="5" width="14.375" style="366" customWidth="1"/>
    <col min="6" max="6" width="14.625" style="365" customWidth="1"/>
    <col min="7" max="7" width="13.00390625" style="365" customWidth="1"/>
    <col min="8" max="8" width="11.75390625" style="313" customWidth="1"/>
    <col min="9" max="9" width="9.125" style="313" customWidth="1"/>
    <col min="10" max="10" width="11.375" style="303" customWidth="1"/>
    <col min="11" max="16384" width="9.125" style="303" customWidth="1"/>
  </cols>
  <sheetData>
    <row r="1" spans="2:7" ht="22.5" customHeight="1">
      <c r="B1" s="364" t="s">
        <v>25</v>
      </c>
      <c r="E1" s="858" t="s">
        <v>211</v>
      </c>
      <c r="F1" s="858"/>
      <c r="G1" s="858"/>
    </row>
    <row r="2" spans="1:7" ht="18">
      <c r="A2" s="284"/>
      <c r="B2" s="364" t="s">
        <v>167</v>
      </c>
      <c r="E2" s="859" t="s">
        <v>212</v>
      </c>
      <c r="F2" s="860"/>
      <c r="G2" s="860"/>
    </row>
    <row r="3" spans="2:7" ht="3.75" customHeight="1" thickBot="1">
      <c r="B3" s="368"/>
      <c r="G3" s="369"/>
    </row>
    <row r="4" spans="1:9" s="305" customFormat="1" ht="12.75">
      <c r="A4" s="707" t="s">
        <v>6</v>
      </c>
      <c r="B4" s="785" t="s">
        <v>7</v>
      </c>
      <c r="C4" s="370" t="s">
        <v>18</v>
      </c>
      <c r="D4" s="371" t="s">
        <v>8</v>
      </c>
      <c r="E4" s="787" t="s">
        <v>166</v>
      </c>
      <c r="F4" s="789" t="s">
        <v>19</v>
      </c>
      <c r="G4" s="790"/>
      <c r="H4" s="207"/>
      <c r="I4" s="200"/>
    </row>
    <row r="5" spans="1:9" s="305" customFormat="1" ht="10.5" customHeight="1">
      <c r="A5" s="708"/>
      <c r="B5" s="786"/>
      <c r="C5" s="372" t="s">
        <v>0</v>
      </c>
      <c r="D5" s="373" t="s">
        <v>14</v>
      </c>
      <c r="E5" s="788"/>
      <c r="F5" s="791" t="s">
        <v>54</v>
      </c>
      <c r="G5" s="793" t="s">
        <v>186</v>
      </c>
      <c r="H5" s="207"/>
      <c r="I5" s="200"/>
    </row>
    <row r="6" spans="1:9" s="305" customFormat="1" ht="9.75" customHeight="1" thickBot="1">
      <c r="A6" s="708"/>
      <c r="B6" s="786"/>
      <c r="C6" s="372"/>
      <c r="D6" s="373" t="s">
        <v>15</v>
      </c>
      <c r="E6" s="788"/>
      <c r="F6" s="792"/>
      <c r="G6" s="794"/>
      <c r="H6" s="207"/>
      <c r="I6" s="200"/>
    </row>
    <row r="7" spans="1:9" s="304" customFormat="1" ht="15.75" customHeight="1" thickBot="1">
      <c r="A7" s="186" t="s">
        <v>10</v>
      </c>
      <c r="B7" s="374"/>
      <c r="C7" s="375">
        <v>900100</v>
      </c>
      <c r="D7" s="376">
        <v>160900</v>
      </c>
      <c r="E7" s="377">
        <f>SUM(E8:E49)</f>
        <v>613610</v>
      </c>
      <c r="F7" s="377">
        <f>SUM(F8:F49)</f>
        <v>613610</v>
      </c>
      <c r="G7" s="377">
        <f>SUM(G8:G48)</f>
        <v>0</v>
      </c>
      <c r="H7" s="207"/>
      <c r="I7" s="207"/>
    </row>
    <row r="8" spans="1:9" s="305" customFormat="1" ht="23.25" customHeight="1">
      <c r="A8" s="208" t="s">
        <v>42</v>
      </c>
      <c r="B8" s="378" t="s">
        <v>163</v>
      </c>
      <c r="C8" s="379">
        <v>1240000</v>
      </c>
      <c r="D8" s="380">
        <v>110000</v>
      </c>
      <c r="E8" s="381">
        <f>SUM(F8:G8)</f>
        <v>24100</v>
      </c>
      <c r="F8" s="382">
        <f>22800+1300</f>
        <v>24100</v>
      </c>
      <c r="G8" s="382">
        <v>0</v>
      </c>
      <c r="H8" s="207"/>
      <c r="I8" s="200"/>
    </row>
    <row r="9" spans="1:9" s="305" customFormat="1" ht="18.75" customHeight="1">
      <c r="A9" s="209"/>
      <c r="B9" s="383" t="s">
        <v>164</v>
      </c>
      <c r="C9" s="379"/>
      <c r="D9" s="384"/>
      <c r="E9" s="381">
        <f>SUM(F9:G9)</f>
        <v>3500</v>
      </c>
      <c r="F9" s="379">
        <f>3100+400</f>
        <v>3500</v>
      </c>
      <c r="G9" s="382">
        <v>0</v>
      </c>
      <c r="H9" s="207"/>
      <c r="I9" s="200"/>
    </row>
    <row r="10" spans="1:9" s="305" customFormat="1" ht="13.5" customHeight="1" hidden="1">
      <c r="A10" s="209"/>
      <c r="B10" s="795" t="s">
        <v>46</v>
      </c>
      <c r="C10" s="385"/>
      <c r="D10" s="386"/>
      <c r="E10" s="798">
        <f>SUM(G10+G12+F10)</f>
        <v>0</v>
      </c>
      <c r="F10" s="801">
        <v>0</v>
      </c>
      <c r="G10" s="387">
        <v>0</v>
      </c>
      <c r="H10" s="207"/>
      <c r="I10" s="200"/>
    </row>
    <row r="11" spans="1:9" s="305" customFormat="1" ht="14.25" customHeight="1" hidden="1">
      <c r="A11" s="210"/>
      <c r="B11" s="796"/>
      <c r="C11" s="388"/>
      <c r="D11" s="388"/>
      <c r="E11" s="799"/>
      <c r="F11" s="802"/>
      <c r="G11" s="389" t="s">
        <v>53</v>
      </c>
      <c r="H11" s="207"/>
      <c r="I11" s="200"/>
    </row>
    <row r="12" spans="1:9" s="305" customFormat="1" ht="11.25" customHeight="1" hidden="1">
      <c r="A12" s="210"/>
      <c r="B12" s="796"/>
      <c r="C12" s="388"/>
      <c r="D12" s="388"/>
      <c r="E12" s="799"/>
      <c r="F12" s="802"/>
      <c r="G12" s="390">
        <v>0</v>
      </c>
      <c r="H12" s="207"/>
      <c r="I12" s="200"/>
    </row>
    <row r="13" spans="1:9" s="305" customFormat="1" ht="24.75" customHeight="1" hidden="1">
      <c r="A13" s="210"/>
      <c r="B13" s="797"/>
      <c r="C13" s="391"/>
      <c r="D13" s="391"/>
      <c r="E13" s="800"/>
      <c r="F13" s="803"/>
      <c r="G13" s="392" t="s">
        <v>56</v>
      </c>
      <c r="H13" s="207"/>
      <c r="I13" s="200"/>
    </row>
    <row r="14" spans="1:9" s="305" customFormat="1" ht="18.75" customHeight="1">
      <c r="A14" s="209" t="s">
        <v>190</v>
      </c>
      <c r="B14" s="383" t="s">
        <v>191</v>
      </c>
      <c r="C14" s="379"/>
      <c r="D14" s="384"/>
      <c r="E14" s="381">
        <f aca="true" t="shared" si="0" ref="E14:E19">SUM(F14:G14)</f>
        <v>20000</v>
      </c>
      <c r="F14" s="379">
        <f>0+20000</f>
        <v>20000</v>
      </c>
      <c r="G14" s="382">
        <v>0</v>
      </c>
      <c r="H14" s="207"/>
      <c r="I14" s="200"/>
    </row>
    <row r="15" spans="1:9" s="684" customFormat="1" ht="18.75" customHeight="1">
      <c r="A15" s="682"/>
      <c r="B15" s="383" t="s">
        <v>207</v>
      </c>
      <c r="C15" s="379"/>
      <c r="D15" s="384"/>
      <c r="E15" s="381">
        <f t="shared" si="0"/>
        <v>11000</v>
      </c>
      <c r="F15" s="610">
        <f>0+11000</f>
        <v>11000</v>
      </c>
      <c r="G15" s="393">
        <v>0</v>
      </c>
      <c r="H15" s="366" t="s">
        <v>208</v>
      </c>
      <c r="I15" s="683"/>
    </row>
    <row r="16" spans="1:9" s="305" customFormat="1" ht="20.25" customHeight="1">
      <c r="A16" s="320"/>
      <c r="B16" s="383" t="s">
        <v>126</v>
      </c>
      <c r="C16" s="379"/>
      <c r="D16" s="384"/>
      <c r="E16" s="381">
        <f t="shared" si="0"/>
        <v>65000</v>
      </c>
      <c r="F16" s="382">
        <v>65000</v>
      </c>
      <c r="G16" s="393">
        <v>0</v>
      </c>
      <c r="H16" s="207"/>
      <c r="I16" s="200"/>
    </row>
    <row r="17" spans="1:9" s="305" customFormat="1" ht="20.25" customHeight="1">
      <c r="A17" s="320"/>
      <c r="B17" s="383" t="s">
        <v>127</v>
      </c>
      <c r="C17" s="379"/>
      <c r="D17" s="380"/>
      <c r="E17" s="381">
        <f t="shared" si="0"/>
        <v>334000</v>
      </c>
      <c r="F17" s="382">
        <f>100000-1700-1700+300000-20000-40000-10000+7400</f>
        <v>334000</v>
      </c>
      <c r="G17" s="382">
        <f>300000-300000</f>
        <v>0</v>
      </c>
      <c r="H17" s="207"/>
      <c r="I17" s="200"/>
    </row>
    <row r="18" spans="1:9" s="305" customFormat="1" ht="16.5" customHeight="1" hidden="1">
      <c r="A18" s="320"/>
      <c r="B18" s="378" t="s">
        <v>79</v>
      </c>
      <c r="C18" s="379"/>
      <c r="D18" s="384"/>
      <c r="E18" s="381">
        <f t="shared" si="0"/>
        <v>0</v>
      </c>
      <c r="F18" s="382">
        <v>0</v>
      </c>
      <c r="G18" s="382">
        <v>0</v>
      </c>
      <c r="H18" s="207"/>
      <c r="I18" s="200"/>
    </row>
    <row r="19" spans="1:9" s="305" customFormat="1" ht="11.25" customHeight="1" hidden="1">
      <c r="A19" s="320"/>
      <c r="B19" s="847" t="s">
        <v>80</v>
      </c>
      <c r="C19" s="379"/>
      <c r="D19" s="384"/>
      <c r="E19" s="849">
        <f t="shared" si="0"/>
        <v>0</v>
      </c>
      <c r="F19" s="851">
        <v>0</v>
      </c>
      <c r="G19" s="387">
        <v>0</v>
      </c>
      <c r="H19" s="207"/>
      <c r="I19" s="200"/>
    </row>
    <row r="20" spans="1:9" s="305" customFormat="1" ht="10.5" customHeight="1" hidden="1">
      <c r="A20" s="320"/>
      <c r="B20" s="848"/>
      <c r="C20" s="379"/>
      <c r="D20" s="384"/>
      <c r="E20" s="850"/>
      <c r="F20" s="852"/>
      <c r="G20" s="392"/>
      <c r="H20" s="207"/>
      <c r="I20" s="200"/>
    </row>
    <row r="21" spans="1:9" s="305" customFormat="1" ht="16.5" customHeight="1" hidden="1">
      <c r="A21" s="320"/>
      <c r="B21" s="394" t="s">
        <v>74</v>
      </c>
      <c r="C21" s="379"/>
      <c r="D21" s="384"/>
      <c r="E21" s="381">
        <f aca="true" t="shared" si="1" ref="E21:E31">SUM(F21:G21)</f>
        <v>0</v>
      </c>
      <c r="F21" s="382">
        <v>0</v>
      </c>
      <c r="G21" s="393">
        <v>0</v>
      </c>
      <c r="H21" s="207"/>
      <c r="I21" s="200"/>
    </row>
    <row r="22" spans="1:9" s="305" customFormat="1" ht="14.25" customHeight="1" hidden="1">
      <c r="A22" s="323"/>
      <c r="B22" s="604" t="s">
        <v>75</v>
      </c>
      <c r="C22" s="379"/>
      <c r="D22" s="384"/>
      <c r="E22" s="381">
        <f t="shared" si="1"/>
        <v>0</v>
      </c>
      <c r="F22" s="382">
        <v>0</v>
      </c>
      <c r="G22" s="382">
        <v>0</v>
      </c>
      <c r="H22" s="207"/>
      <c r="I22" s="200"/>
    </row>
    <row r="23" spans="1:9" s="305" customFormat="1" ht="16.5" customHeight="1" hidden="1">
      <c r="A23" s="323"/>
      <c r="B23" s="605" t="s">
        <v>81</v>
      </c>
      <c r="C23" s="379">
        <v>30000</v>
      </c>
      <c r="D23" s="380">
        <v>30000</v>
      </c>
      <c r="E23" s="381">
        <f t="shared" si="1"/>
        <v>0</v>
      </c>
      <c r="F23" s="382">
        <v>0</v>
      </c>
      <c r="G23" s="382">
        <v>0</v>
      </c>
      <c r="H23" s="207"/>
      <c r="I23" s="200"/>
    </row>
    <row r="24" spans="1:9" s="305" customFormat="1" ht="19.5" customHeight="1" hidden="1">
      <c r="A24" s="323"/>
      <c r="B24" s="395" t="s">
        <v>104</v>
      </c>
      <c r="C24" s="379">
        <v>83000</v>
      </c>
      <c r="D24" s="380">
        <v>83000</v>
      </c>
      <c r="E24" s="381">
        <f t="shared" si="1"/>
        <v>0</v>
      </c>
      <c r="F24" s="382">
        <v>0</v>
      </c>
      <c r="G24" s="382">
        <v>0</v>
      </c>
      <c r="H24" s="207"/>
      <c r="I24" s="200"/>
    </row>
    <row r="25" spans="1:9" s="305" customFormat="1" ht="16.5" customHeight="1" hidden="1">
      <c r="A25" s="323"/>
      <c r="B25" s="395" t="s">
        <v>76</v>
      </c>
      <c r="C25" s="379"/>
      <c r="D25" s="380"/>
      <c r="E25" s="381">
        <f t="shared" si="1"/>
        <v>0</v>
      </c>
      <c r="F25" s="379">
        <v>0</v>
      </c>
      <c r="G25" s="382">
        <v>0</v>
      </c>
      <c r="H25" s="207"/>
      <c r="I25" s="200"/>
    </row>
    <row r="26" spans="1:9" s="305" customFormat="1" ht="16.5" customHeight="1" hidden="1">
      <c r="A26" s="323"/>
      <c r="B26" s="606" t="s">
        <v>77</v>
      </c>
      <c r="C26" s="396"/>
      <c r="D26" s="607"/>
      <c r="E26" s="381">
        <f t="shared" si="1"/>
        <v>0</v>
      </c>
      <c r="F26" s="396">
        <v>0</v>
      </c>
      <c r="G26" s="387">
        <v>0</v>
      </c>
      <c r="H26" s="207"/>
      <c r="I26" s="200"/>
    </row>
    <row r="27" spans="1:9" s="305" customFormat="1" ht="15" hidden="1">
      <c r="A27" s="323"/>
      <c r="B27" s="395" t="s">
        <v>82</v>
      </c>
      <c r="C27" s="379"/>
      <c r="D27" s="380"/>
      <c r="E27" s="381">
        <f t="shared" si="1"/>
        <v>0</v>
      </c>
      <c r="F27" s="379">
        <v>0</v>
      </c>
      <c r="G27" s="382">
        <v>0</v>
      </c>
      <c r="H27" s="207"/>
      <c r="I27" s="200"/>
    </row>
    <row r="28" spans="1:9" s="305" customFormat="1" ht="27.75" customHeight="1" hidden="1">
      <c r="A28" s="323"/>
      <c r="B28" s="395" t="s">
        <v>50</v>
      </c>
      <c r="C28" s="397">
        <v>1000</v>
      </c>
      <c r="D28" s="398">
        <v>1000</v>
      </c>
      <c r="E28" s="399">
        <f t="shared" si="1"/>
        <v>0</v>
      </c>
      <c r="F28" s="397">
        <v>0</v>
      </c>
      <c r="G28" s="393"/>
      <c r="H28" s="207"/>
      <c r="I28" s="200"/>
    </row>
    <row r="29" spans="1:9" s="305" customFormat="1" ht="16.5" customHeight="1" hidden="1">
      <c r="A29" s="323"/>
      <c r="B29" s="395" t="s">
        <v>78</v>
      </c>
      <c r="C29" s="379"/>
      <c r="D29" s="380"/>
      <c r="E29" s="381">
        <f t="shared" si="1"/>
        <v>0</v>
      </c>
      <c r="F29" s="379">
        <v>0</v>
      </c>
      <c r="G29" s="382">
        <v>0</v>
      </c>
      <c r="H29" s="207"/>
      <c r="I29" s="200"/>
    </row>
    <row r="30" spans="1:7" ht="15.75" customHeight="1" hidden="1">
      <c r="A30" s="323"/>
      <c r="B30" s="608" t="s">
        <v>45</v>
      </c>
      <c r="C30" s="396"/>
      <c r="D30" s="607"/>
      <c r="E30" s="400">
        <f t="shared" si="1"/>
        <v>0</v>
      </c>
      <c r="F30" s="396">
        <v>0</v>
      </c>
      <c r="G30" s="387">
        <v>0</v>
      </c>
    </row>
    <row r="31" spans="1:7" ht="20.25" customHeight="1">
      <c r="A31" s="323"/>
      <c r="B31" s="609" t="s">
        <v>57</v>
      </c>
      <c r="C31" s="610"/>
      <c r="D31" s="610"/>
      <c r="E31" s="401">
        <f t="shared" si="1"/>
        <v>41054</v>
      </c>
      <c r="F31" s="610">
        <f>50000-1546-7400</f>
        <v>41054</v>
      </c>
      <c r="G31" s="382">
        <v>0</v>
      </c>
    </row>
    <row r="32" spans="1:7" ht="15" hidden="1">
      <c r="A32" s="323"/>
      <c r="B32" s="402"/>
      <c r="C32" s="403"/>
      <c r="D32" s="403"/>
      <c r="E32" s="404"/>
      <c r="F32" s="403"/>
      <c r="G32" s="405"/>
    </row>
    <row r="33" spans="1:7" s="313" customFormat="1" ht="18" customHeight="1" hidden="1">
      <c r="A33" s="323"/>
      <c r="B33" s="402"/>
      <c r="C33" s="403"/>
      <c r="D33" s="403"/>
      <c r="E33" s="404"/>
      <c r="F33" s="403"/>
      <c r="G33" s="405"/>
    </row>
    <row r="34" spans="1:7" s="313" customFormat="1" ht="15" hidden="1">
      <c r="A34" s="323"/>
      <c r="B34" s="402"/>
      <c r="C34" s="403"/>
      <c r="D34" s="403"/>
      <c r="E34" s="404"/>
      <c r="F34" s="403"/>
      <c r="G34" s="405"/>
    </row>
    <row r="35" spans="1:7" s="313" customFormat="1" ht="12.75" customHeight="1" hidden="1">
      <c r="A35" s="747" t="s">
        <v>6</v>
      </c>
      <c r="B35" s="810" t="s">
        <v>7</v>
      </c>
      <c r="C35" s="406" t="s">
        <v>18</v>
      </c>
      <c r="D35" s="407" t="s">
        <v>8</v>
      </c>
      <c r="E35" s="813" t="s">
        <v>5</v>
      </c>
      <c r="F35" s="816" t="s">
        <v>19</v>
      </c>
      <c r="G35" s="817"/>
    </row>
    <row r="36" spans="1:7" s="313" customFormat="1" ht="15.75" hidden="1">
      <c r="A36" s="777"/>
      <c r="B36" s="811"/>
      <c r="C36" s="408" t="s">
        <v>0</v>
      </c>
      <c r="D36" s="409" t="s">
        <v>14</v>
      </c>
      <c r="E36" s="814"/>
      <c r="F36" s="818" t="s">
        <v>13</v>
      </c>
      <c r="G36" s="820" t="s">
        <v>20</v>
      </c>
    </row>
    <row r="37" spans="1:7" s="313" customFormat="1" ht="16.5" hidden="1" thickBot="1">
      <c r="A37" s="777"/>
      <c r="B37" s="812"/>
      <c r="C37" s="410"/>
      <c r="D37" s="411" t="s">
        <v>15</v>
      </c>
      <c r="E37" s="815"/>
      <c r="F37" s="819"/>
      <c r="G37" s="821"/>
    </row>
    <row r="38" spans="1:7" s="313" customFormat="1" ht="15">
      <c r="A38" s="325"/>
      <c r="B38" s="412" t="s">
        <v>128</v>
      </c>
      <c r="C38" s="379"/>
      <c r="D38" s="380"/>
      <c r="E38" s="381">
        <f aca="true" t="shared" si="2" ref="E38:E45">SUM(F38:G38)</f>
        <v>66900</v>
      </c>
      <c r="F38" s="379">
        <v>66900</v>
      </c>
      <c r="G38" s="382">
        <v>0</v>
      </c>
    </row>
    <row r="39" spans="1:7" s="313" customFormat="1" ht="19.5" customHeight="1">
      <c r="A39" s="323"/>
      <c r="B39" s="412" t="s">
        <v>175</v>
      </c>
      <c r="C39" s="379"/>
      <c r="D39" s="380"/>
      <c r="E39" s="381">
        <f t="shared" si="2"/>
        <v>14056</v>
      </c>
      <c r="F39" s="379">
        <f>12510+1546</f>
        <v>14056</v>
      </c>
      <c r="G39" s="382">
        <v>0</v>
      </c>
    </row>
    <row r="40" spans="1:7" s="313" customFormat="1" ht="15" customHeight="1" hidden="1">
      <c r="A40" s="323"/>
      <c r="B40" s="412" t="s">
        <v>83</v>
      </c>
      <c r="C40" s="379"/>
      <c r="D40" s="380"/>
      <c r="E40" s="381">
        <f t="shared" si="2"/>
        <v>0</v>
      </c>
      <c r="F40" s="379">
        <v>0</v>
      </c>
      <c r="G40" s="382">
        <v>0</v>
      </c>
    </row>
    <row r="41" spans="1:7" s="313" customFormat="1" ht="15" customHeight="1" hidden="1">
      <c r="A41" s="323"/>
      <c r="B41" s="413" t="s">
        <v>84</v>
      </c>
      <c r="C41" s="379"/>
      <c r="D41" s="380"/>
      <c r="E41" s="381">
        <f t="shared" si="2"/>
        <v>0</v>
      </c>
      <c r="F41" s="379">
        <v>0</v>
      </c>
      <c r="G41" s="382"/>
    </row>
    <row r="42" spans="1:7" s="313" customFormat="1" ht="15.75" customHeight="1" hidden="1" thickBot="1">
      <c r="A42" s="326"/>
      <c r="B42" s="414" t="s">
        <v>98</v>
      </c>
      <c r="C42" s="379">
        <v>44900</v>
      </c>
      <c r="D42" s="380">
        <v>44900</v>
      </c>
      <c r="E42" s="381">
        <f t="shared" si="2"/>
        <v>0</v>
      </c>
      <c r="F42" s="379">
        <v>0</v>
      </c>
      <c r="G42" s="382">
        <v>0</v>
      </c>
    </row>
    <row r="43" spans="1:7" s="313" customFormat="1" ht="13.5" customHeight="1" hidden="1">
      <c r="A43" s="320"/>
      <c r="B43" s="415" t="s">
        <v>1</v>
      </c>
      <c r="C43" s="379"/>
      <c r="D43" s="380"/>
      <c r="E43" s="381">
        <f t="shared" si="2"/>
        <v>0</v>
      </c>
      <c r="F43" s="379">
        <v>0</v>
      </c>
      <c r="G43" s="382">
        <v>0</v>
      </c>
    </row>
    <row r="44" spans="1:7" s="313" customFormat="1" ht="13.5" customHeight="1" hidden="1" thickBot="1">
      <c r="A44" s="327"/>
      <c r="B44" s="416" t="s">
        <v>2</v>
      </c>
      <c r="C44" s="379"/>
      <c r="D44" s="380"/>
      <c r="E44" s="400">
        <f t="shared" si="2"/>
        <v>0</v>
      </c>
      <c r="F44" s="396">
        <v>0</v>
      </c>
      <c r="G44" s="387"/>
    </row>
    <row r="45" spans="1:8" s="313" customFormat="1" ht="15" customHeight="1" hidden="1" thickBot="1">
      <c r="A45" s="215" t="s">
        <v>43</v>
      </c>
      <c r="B45" s="417" t="s">
        <v>71</v>
      </c>
      <c r="C45" s="403"/>
      <c r="D45" s="418"/>
      <c r="E45" s="381">
        <f t="shared" si="2"/>
        <v>0</v>
      </c>
      <c r="F45" s="379">
        <v>0</v>
      </c>
      <c r="G45" s="419">
        <v>0</v>
      </c>
      <c r="H45" s="313" t="s">
        <v>72</v>
      </c>
    </row>
    <row r="46" spans="1:7" s="313" customFormat="1" ht="16.5" customHeight="1" hidden="1">
      <c r="A46" s="320"/>
      <c r="B46" s="420"/>
      <c r="C46" s="403"/>
      <c r="D46" s="418"/>
      <c r="E46" s="418"/>
      <c r="F46" s="403"/>
      <c r="G46" s="405"/>
    </row>
    <row r="47" spans="1:7" s="313" customFormat="1" ht="15.75" customHeight="1" hidden="1" thickBot="1">
      <c r="A47" s="328"/>
      <c r="B47" s="421" t="s">
        <v>51</v>
      </c>
      <c r="C47" s="403"/>
      <c r="D47" s="418"/>
      <c r="E47" s="422">
        <f>SUM(F47:G47)</f>
        <v>0</v>
      </c>
      <c r="F47" s="423">
        <v>0</v>
      </c>
      <c r="G47" s="424">
        <v>0</v>
      </c>
    </row>
    <row r="48" spans="1:7" s="313" customFormat="1" ht="15.75" customHeight="1" hidden="1" thickBot="1">
      <c r="A48" s="328"/>
      <c r="B48" s="421" t="s">
        <v>52</v>
      </c>
      <c r="C48" s="403"/>
      <c r="D48" s="418"/>
      <c r="E48" s="422">
        <f>SUM(F48:G48)</f>
        <v>0</v>
      </c>
      <c r="F48" s="423">
        <v>0</v>
      </c>
      <c r="G48" s="424">
        <v>0</v>
      </c>
    </row>
    <row r="49" spans="1:7" s="313" customFormat="1" ht="15.75" thickBot="1">
      <c r="A49" s="328"/>
      <c r="B49" s="425" t="s">
        <v>176</v>
      </c>
      <c r="C49" s="403"/>
      <c r="D49" s="418"/>
      <c r="E49" s="381">
        <f>SUM(F49:G49)</f>
        <v>34000</v>
      </c>
      <c r="F49" s="379">
        <v>34000</v>
      </c>
      <c r="G49" s="382">
        <v>0</v>
      </c>
    </row>
    <row r="50" spans="1:7" s="313" customFormat="1" ht="18" customHeight="1" thickBot="1">
      <c r="A50" s="186" t="s">
        <v>11</v>
      </c>
      <c r="B50" s="426"/>
      <c r="C50" s="427"/>
      <c r="D50" s="428"/>
      <c r="E50" s="429">
        <f>SUM(E51:E71)+E73+E78</f>
        <v>2376938</v>
      </c>
      <c r="F50" s="429">
        <f>SUM(F51:F71)+F73+F78</f>
        <v>2376938</v>
      </c>
      <c r="G50" s="429">
        <f>SUM(G51:G71)+G73+G78</f>
        <v>0</v>
      </c>
    </row>
    <row r="51" spans="1:7" s="313" customFormat="1" ht="32.25" customHeight="1">
      <c r="A51" s="181" t="s">
        <v>3</v>
      </c>
      <c r="B51" s="430" t="s">
        <v>114</v>
      </c>
      <c r="C51" s="397"/>
      <c r="D51" s="431"/>
      <c r="E51" s="432">
        <f aca="true" t="shared" si="3" ref="E51:E67">SUM(F51:G51)</f>
        <v>500000</v>
      </c>
      <c r="F51" s="432">
        <f>0+500000</f>
        <v>500000</v>
      </c>
      <c r="G51" s="433">
        <f>500000-500000</f>
        <v>0</v>
      </c>
    </row>
    <row r="52" spans="1:7" s="313" customFormat="1" ht="33.75" customHeight="1">
      <c r="A52" s="217"/>
      <c r="B52" s="434" t="s">
        <v>168</v>
      </c>
      <c r="C52" s="435"/>
      <c r="D52" s="435"/>
      <c r="E52" s="401">
        <f t="shared" si="3"/>
        <v>10488</v>
      </c>
      <c r="F52" s="435">
        <v>10488</v>
      </c>
      <c r="G52" s="382">
        <v>0</v>
      </c>
    </row>
    <row r="53" spans="1:7" s="313" customFormat="1" ht="32.25" customHeight="1" thickBot="1">
      <c r="A53" s="218"/>
      <c r="B53" s="436" t="s">
        <v>184</v>
      </c>
      <c r="C53" s="437">
        <v>15000</v>
      </c>
      <c r="D53" s="438">
        <v>15000</v>
      </c>
      <c r="E53" s="439">
        <f t="shared" si="3"/>
        <v>50000</v>
      </c>
      <c r="F53" s="439">
        <v>50000</v>
      </c>
      <c r="G53" s="440">
        <v>0</v>
      </c>
    </row>
    <row r="54" spans="1:8" s="313" customFormat="1" ht="15.75" customHeight="1">
      <c r="A54" s="219" t="s">
        <v>44</v>
      </c>
      <c r="B54" s="689" t="s">
        <v>129</v>
      </c>
      <c r="C54" s="330">
        <v>15000</v>
      </c>
      <c r="D54" s="598">
        <v>15000</v>
      </c>
      <c r="E54" s="599">
        <f t="shared" si="3"/>
        <v>37500</v>
      </c>
      <c r="F54" s="690">
        <f>50000-12500</f>
        <v>37500</v>
      </c>
      <c r="G54" s="691">
        <v>0</v>
      </c>
      <c r="H54" s="335"/>
    </row>
    <row r="55" spans="1:8" s="313" customFormat="1" ht="15" customHeight="1">
      <c r="A55" s="221"/>
      <c r="B55" s="413" t="s">
        <v>130</v>
      </c>
      <c r="C55" s="379"/>
      <c r="D55" s="380"/>
      <c r="E55" s="381">
        <f t="shared" si="3"/>
        <v>10000</v>
      </c>
      <c r="F55" s="444">
        <v>10000</v>
      </c>
      <c r="G55" s="445">
        <v>0</v>
      </c>
      <c r="H55" s="313" t="s">
        <v>131</v>
      </c>
    </row>
    <row r="56" spans="1:8" s="313" customFormat="1" ht="16.5" customHeight="1">
      <c r="A56" s="222"/>
      <c r="B56" s="591" t="s">
        <v>132</v>
      </c>
      <c r="C56" s="316"/>
      <c r="D56" s="321"/>
      <c r="E56" s="318">
        <f t="shared" si="3"/>
        <v>40500</v>
      </c>
      <c r="F56" s="344">
        <f>40000+500</f>
        <v>40500</v>
      </c>
      <c r="G56" s="345">
        <v>0</v>
      </c>
      <c r="H56" s="313" t="s">
        <v>133</v>
      </c>
    </row>
    <row r="57" spans="1:8" s="313" customFormat="1" ht="18" customHeight="1">
      <c r="A57" s="222"/>
      <c r="B57" s="591" t="s">
        <v>68</v>
      </c>
      <c r="C57" s="316"/>
      <c r="D57" s="321"/>
      <c r="E57" s="318">
        <f t="shared" si="3"/>
        <v>18000</v>
      </c>
      <c r="F57" s="344">
        <f>14000+4000</f>
        <v>18000</v>
      </c>
      <c r="G57" s="345">
        <v>0</v>
      </c>
      <c r="H57" s="313" t="s">
        <v>134</v>
      </c>
    </row>
    <row r="58" spans="1:8" s="366" customFormat="1" ht="16.5" customHeight="1">
      <c r="A58" s="685"/>
      <c r="B58" s="378" t="s">
        <v>149</v>
      </c>
      <c r="C58" s="435"/>
      <c r="D58" s="435"/>
      <c r="E58" s="401">
        <f t="shared" si="3"/>
        <v>62500</v>
      </c>
      <c r="F58" s="435">
        <f>66000-3500</f>
        <v>62500</v>
      </c>
      <c r="G58" s="382">
        <v>0</v>
      </c>
      <c r="H58" s="366" t="s">
        <v>135</v>
      </c>
    </row>
    <row r="59" spans="1:7" s="313" customFormat="1" ht="18" customHeight="1">
      <c r="A59" s="223"/>
      <c r="B59" s="434" t="s">
        <v>123</v>
      </c>
      <c r="C59" s="435"/>
      <c r="D59" s="435"/>
      <c r="E59" s="401">
        <f t="shared" si="3"/>
        <v>25000</v>
      </c>
      <c r="F59" s="435">
        <v>25000</v>
      </c>
      <c r="G59" s="382">
        <v>0</v>
      </c>
    </row>
    <row r="60" spans="1:7" s="313" customFormat="1" ht="16.5" customHeight="1">
      <c r="A60" s="223"/>
      <c r="B60" s="434" t="s">
        <v>115</v>
      </c>
      <c r="C60" s="435"/>
      <c r="D60" s="435"/>
      <c r="E60" s="401">
        <f t="shared" si="3"/>
        <v>15000</v>
      </c>
      <c r="F60" s="435">
        <v>15000</v>
      </c>
      <c r="G60" s="382">
        <v>0</v>
      </c>
    </row>
    <row r="61" spans="1:7" s="313" customFormat="1" ht="16.5" customHeight="1">
      <c r="A61" s="223"/>
      <c r="B61" s="434" t="s">
        <v>182</v>
      </c>
      <c r="C61" s="435"/>
      <c r="D61" s="435"/>
      <c r="E61" s="401">
        <f t="shared" si="3"/>
        <v>381000</v>
      </c>
      <c r="F61" s="435">
        <v>381000</v>
      </c>
      <c r="G61" s="382">
        <v>0</v>
      </c>
    </row>
    <row r="62" spans="1:8" s="313" customFormat="1" ht="16.5" customHeight="1">
      <c r="A62" s="223"/>
      <c r="B62" s="434" t="s">
        <v>124</v>
      </c>
      <c r="C62" s="435">
        <v>12500</v>
      </c>
      <c r="D62" s="435">
        <v>12500</v>
      </c>
      <c r="E62" s="401">
        <f t="shared" si="3"/>
        <v>0</v>
      </c>
      <c r="F62" s="435">
        <v>0</v>
      </c>
      <c r="G62" s="382">
        <v>0</v>
      </c>
      <c r="H62" s="313" t="s">
        <v>70</v>
      </c>
    </row>
    <row r="63" spans="1:7" s="313" customFormat="1" ht="16.5" customHeight="1">
      <c r="A63" s="223"/>
      <c r="B63" s="434" t="s">
        <v>180</v>
      </c>
      <c r="C63" s="435"/>
      <c r="D63" s="435"/>
      <c r="E63" s="401">
        <f t="shared" si="3"/>
        <v>3950</v>
      </c>
      <c r="F63" s="435">
        <v>3950</v>
      </c>
      <c r="G63" s="382"/>
    </row>
    <row r="64" spans="1:7" s="313" customFormat="1" ht="16.5" customHeight="1">
      <c r="A64" s="223"/>
      <c r="B64" s="434" t="s">
        <v>181</v>
      </c>
      <c r="C64" s="435"/>
      <c r="D64" s="435"/>
      <c r="E64" s="401">
        <f t="shared" si="3"/>
        <v>0</v>
      </c>
      <c r="F64" s="435">
        <f>3050-3050</f>
        <v>0</v>
      </c>
      <c r="G64" s="382"/>
    </row>
    <row r="65" spans="1:7" s="313" customFormat="1" ht="18" customHeight="1">
      <c r="A65" s="223"/>
      <c r="B65" s="434" t="s">
        <v>136</v>
      </c>
      <c r="C65" s="435">
        <v>12500</v>
      </c>
      <c r="D65" s="435">
        <v>12500</v>
      </c>
      <c r="E65" s="401">
        <f t="shared" si="3"/>
        <v>0</v>
      </c>
      <c r="F65" s="435">
        <f>105000-105000</f>
        <v>0</v>
      </c>
      <c r="G65" s="382">
        <v>0</v>
      </c>
    </row>
    <row r="66" spans="1:7" s="313" customFormat="1" ht="17.25" customHeight="1">
      <c r="A66" s="223"/>
      <c r="B66" s="434" t="s">
        <v>170</v>
      </c>
      <c r="C66" s="435"/>
      <c r="D66" s="435"/>
      <c r="E66" s="401">
        <f t="shared" si="3"/>
        <v>360000</v>
      </c>
      <c r="F66" s="435">
        <f>350000+10000</f>
        <v>360000</v>
      </c>
      <c r="G66" s="382">
        <v>0</v>
      </c>
    </row>
    <row r="67" spans="1:7" s="313" customFormat="1" ht="16.5" customHeight="1">
      <c r="A67" s="223"/>
      <c r="B67" s="434" t="s">
        <v>171</v>
      </c>
      <c r="C67" s="435"/>
      <c r="D67" s="435"/>
      <c r="E67" s="401">
        <f t="shared" si="3"/>
        <v>0</v>
      </c>
      <c r="F67" s="435">
        <f>160000-160000</f>
        <v>0</v>
      </c>
      <c r="G67" s="382">
        <v>0</v>
      </c>
    </row>
    <row r="68" spans="1:7" s="313" customFormat="1" ht="16.5" customHeight="1" hidden="1">
      <c r="A68" s="754" t="s">
        <v>6</v>
      </c>
      <c r="B68" s="822" t="s">
        <v>7</v>
      </c>
      <c r="C68" s="446" t="s">
        <v>18</v>
      </c>
      <c r="D68" s="446" t="s">
        <v>8</v>
      </c>
      <c r="E68" s="824" t="s">
        <v>47</v>
      </c>
      <c r="F68" s="826" t="s">
        <v>19</v>
      </c>
      <c r="G68" s="827"/>
    </row>
    <row r="69" spans="1:7" s="313" customFormat="1" ht="16.5" customHeight="1" hidden="1">
      <c r="A69" s="777"/>
      <c r="B69" s="823"/>
      <c r="C69" s="446" t="s">
        <v>0</v>
      </c>
      <c r="D69" s="446" t="s">
        <v>14</v>
      </c>
      <c r="E69" s="825"/>
      <c r="F69" s="828" t="s">
        <v>13</v>
      </c>
      <c r="G69" s="829" t="s">
        <v>20</v>
      </c>
    </row>
    <row r="70" spans="1:7" s="313" customFormat="1" ht="16.5" customHeight="1" hidden="1">
      <c r="A70" s="778"/>
      <c r="B70" s="823"/>
      <c r="C70" s="446"/>
      <c r="D70" s="446" t="s">
        <v>15</v>
      </c>
      <c r="E70" s="825"/>
      <c r="F70" s="825"/>
      <c r="G70" s="830"/>
    </row>
    <row r="71" spans="1:7" s="313" customFormat="1" ht="16.5" customHeight="1" hidden="1">
      <c r="A71" s="325"/>
      <c r="B71" s="447" t="s">
        <v>105</v>
      </c>
      <c r="C71" s="448"/>
      <c r="D71" s="448"/>
      <c r="E71" s="449">
        <f>SUM(F71:G71)</f>
        <v>0</v>
      </c>
      <c r="F71" s="448">
        <v>0</v>
      </c>
      <c r="G71" s="450"/>
    </row>
    <row r="72" spans="1:7" s="313" customFormat="1" ht="19.5" customHeight="1" hidden="1">
      <c r="A72" s="223"/>
      <c r="B72" s="451"/>
      <c r="C72" s="365"/>
      <c r="D72" s="366"/>
      <c r="E72" s="366"/>
      <c r="F72" s="365"/>
      <c r="G72" s="365"/>
    </row>
    <row r="73" spans="1:7" s="313" customFormat="1" ht="39.75" customHeight="1" hidden="1">
      <c r="A73" s="182" t="s">
        <v>29</v>
      </c>
      <c r="B73" s="415" t="s">
        <v>34</v>
      </c>
      <c r="C73" s="452"/>
      <c r="D73" s="453"/>
      <c r="E73" s="442">
        <f>SUM(F73:G73)</f>
        <v>0</v>
      </c>
      <c r="F73" s="443">
        <f>SUM(F74:F77)</f>
        <v>0</v>
      </c>
      <c r="G73" s="443">
        <v>0</v>
      </c>
    </row>
    <row r="74" spans="1:7" s="313" customFormat="1" ht="16.5" customHeight="1" hidden="1">
      <c r="A74" s="224"/>
      <c r="B74" s="454" t="s">
        <v>30</v>
      </c>
      <c r="C74" s="455"/>
      <c r="D74" s="456"/>
      <c r="E74" s="457"/>
      <c r="F74" s="458">
        <v>0</v>
      </c>
      <c r="G74" s="458">
        <v>0</v>
      </c>
    </row>
    <row r="75" spans="1:7" s="313" customFormat="1" ht="16.5" customHeight="1" hidden="1">
      <c r="A75" s="208"/>
      <c r="B75" s="459" t="s">
        <v>31</v>
      </c>
      <c r="C75" s="460"/>
      <c r="D75" s="461"/>
      <c r="E75" s="462"/>
      <c r="F75" s="463">
        <v>0</v>
      </c>
      <c r="G75" s="463">
        <v>0</v>
      </c>
    </row>
    <row r="76" spans="1:7" s="313" customFormat="1" ht="16.5" customHeight="1" hidden="1">
      <c r="A76" s="208"/>
      <c r="B76" s="459" t="s">
        <v>32</v>
      </c>
      <c r="C76" s="460"/>
      <c r="D76" s="461"/>
      <c r="E76" s="462"/>
      <c r="F76" s="463">
        <v>0</v>
      </c>
      <c r="G76" s="463">
        <v>0</v>
      </c>
    </row>
    <row r="77" spans="1:7" s="313" customFormat="1" ht="16.5" customHeight="1" hidden="1">
      <c r="A77" s="225"/>
      <c r="B77" s="464" t="s">
        <v>33</v>
      </c>
      <c r="C77" s="465"/>
      <c r="D77" s="466"/>
      <c r="E77" s="467"/>
      <c r="F77" s="468">
        <v>0</v>
      </c>
      <c r="G77" s="468">
        <v>0</v>
      </c>
    </row>
    <row r="78" spans="1:7" s="366" customFormat="1" ht="16.5" customHeight="1" thickBot="1">
      <c r="A78" s="632"/>
      <c r="B78" s="336" t="s">
        <v>177</v>
      </c>
      <c r="C78" s="337"/>
      <c r="D78" s="337"/>
      <c r="E78" s="338">
        <f aca="true" t="shared" si="4" ref="E78:E85">SUM(F78:G78)</f>
        <v>863000</v>
      </c>
      <c r="F78" s="337">
        <f>865000-800000-10000+800000+8000</f>
        <v>863000</v>
      </c>
      <c r="G78" s="319">
        <f>0+800000-800000</f>
        <v>0</v>
      </c>
    </row>
    <row r="79" spans="1:7" s="313" customFormat="1" ht="16.5" customHeight="1" thickBot="1">
      <c r="A79" s="185" t="s">
        <v>137</v>
      </c>
      <c r="B79" s="469"/>
      <c r="C79" s="470"/>
      <c r="D79" s="471"/>
      <c r="E79" s="472">
        <f t="shared" si="4"/>
        <v>0</v>
      </c>
      <c r="F79" s="473">
        <f>SUM(F80:F81)</f>
        <v>0</v>
      </c>
      <c r="G79" s="474">
        <f>SUM(G80:G82)</f>
        <v>0</v>
      </c>
    </row>
    <row r="80" spans="1:7" s="313" customFormat="1" ht="30" customHeight="1" thickBot="1">
      <c r="A80" s="632" t="s">
        <v>138</v>
      </c>
      <c r="B80" s="425" t="s">
        <v>139</v>
      </c>
      <c r="C80" s="465"/>
      <c r="D80" s="466"/>
      <c r="E80" s="399">
        <f t="shared" si="4"/>
        <v>0</v>
      </c>
      <c r="F80" s="475">
        <f>15000-15000</f>
        <v>0</v>
      </c>
      <c r="G80" s="424">
        <v>0</v>
      </c>
    </row>
    <row r="81" spans="1:7" s="313" customFormat="1" ht="19.5" customHeight="1" thickBot="1">
      <c r="A81" s="633"/>
      <c r="B81" s="425" t="s">
        <v>140</v>
      </c>
      <c r="C81" s="465"/>
      <c r="D81" s="466"/>
      <c r="E81" s="399">
        <f t="shared" si="4"/>
        <v>0</v>
      </c>
      <c r="F81" s="475">
        <f>20000-20000</f>
        <v>0</v>
      </c>
      <c r="G81" s="424">
        <v>0</v>
      </c>
    </row>
    <row r="82" spans="1:7" s="313" customFormat="1" ht="15.75" customHeight="1" thickBot="1">
      <c r="A82" s="634" t="s">
        <v>36</v>
      </c>
      <c r="B82" s="476"/>
      <c r="C82" s="477"/>
      <c r="D82" s="477"/>
      <c r="E82" s="478">
        <f t="shared" si="4"/>
        <v>16500</v>
      </c>
      <c r="F82" s="479">
        <f>SUM(F83:F85)</f>
        <v>16500</v>
      </c>
      <c r="G82" s="479">
        <f>SUM(G83:G97)</f>
        <v>0</v>
      </c>
    </row>
    <row r="83" spans="1:7" s="313" customFormat="1" ht="17.25" customHeight="1" thickBot="1">
      <c r="A83" s="635" t="s">
        <v>4</v>
      </c>
      <c r="B83" s="480" t="s">
        <v>169</v>
      </c>
      <c r="C83" s="481"/>
      <c r="D83" s="482"/>
      <c r="E83" s="487">
        <f t="shared" si="4"/>
        <v>5100</v>
      </c>
      <c r="F83" s="488">
        <v>5100</v>
      </c>
      <c r="G83" s="485">
        <v>0</v>
      </c>
    </row>
    <row r="84" spans="1:7" s="366" customFormat="1" ht="15" customHeight="1" thickBot="1">
      <c r="A84" s="636"/>
      <c r="B84" s="480" t="s">
        <v>172</v>
      </c>
      <c r="C84" s="481"/>
      <c r="D84" s="482"/>
      <c r="E84" s="487">
        <f t="shared" si="4"/>
        <v>1400</v>
      </c>
      <c r="F84" s="488">
        <f>45000-25000-5000-13600</f>
        <v>1400</v>
      </c>
      <c r="G84" s="485">
        <v>0</v>
      </c>
    </row>
    <row r="85" spans="1:7" s="313" customFormat="1" ht="22.5" customHeight="1" thickBot="1">
      <c r="A85" s="637" t="s">
        <v>106</v>
      </c>
      <c r="B85" s="486" t="s">
        <v>125</v>
      </c>
      <c r="C85" s="481"/>
      <c r="D85" s="482"/>
      <c r="E85" s="487">
        <f t="shared" si="4"/>
        <v>10000</v>
      </c>
      <c r="F85" s="488">
        <v>10000</v>
      </c>
      <c r="G85" s="485">
        <v>0</v>
      </c>
    </row>
    <row r="86" spans="1:7" s="313" customFormat="1" ht="15" customHeight="1" hidden="1">
      <c r="A86" s="636"/>
      <c r="B86" s="489"/>
      <c r="C86" s="490"/>
      <c r="D86" s="490"/>
      <c r="E86" s="491"/>
      <c r="F86" s="492"/>
      <c r="G86" s="463"/>
    </row>
    <row r="87" spans="1:7" s="313" customFormat="1" ht="15" customHeight="1" hidden="1">
      <c r="A87" s="636"/>
      <c r="B87" s="489"/>
      <c r="C87" s="490"/>
      <c r="D87" s="490"/>
      <c r="E87" s="491"/>
      <c r="F87" s="492"/>
      <c r="G87" s="463"/>
    </row>
    <row r="88" spans="1:7" s="313" customFormat="1" ht="26.25" customHeight="1" thickBot="1">
      <c r="A88" s="634" t="s">
        <v>66</v>
      </c>
      <c r="B88" s="476"/>
      <c r="C88" s="477"/>
      <c r="D88" s="477"/>
      <c r="E88" s="478">
        <f aca="true" t="shared" si="5" ref="E88:E93">SUM(F88:G88)</f>
        <v>58600</v>
      </c>
      <c r="F88" s="479">
        <f>SUM(F89:F90)</f>
        <v>58600</v>
      </c>
      <c r="G88" s="479">
        <f>SUM(G89:G99)</f>
        <v>0</v>
      </c>
    </row>
    <row r="89" spans="1:7" s="313" customFormat="1" ht="31.5" customHeight="1" hidden="1">
      <c r="A89" s="638" t="s">
        <v>48</v>
      </c>
      <c r="B89" s="493" t="s">
        <v>49</v>
      </c>
      <c r="C89" s="437"/>
      <c r="D89" s="438"/>
      <c r="E89" s="494">
        <f t="shared" si="5"/>
        <v>0</v>
      </c>
      <c r="F89" s="437">
        <v>0</v>
      </c>
      <c r="G89" s="495">
        <v>0</v>
      </c>
    </row>
    <row r="90" spans="1:8" s="366" customFormat="1" ht="15.75" thickBot="1">
      <c r="A90" s="638" t="s">
        <v>65</v>
      </c>
      <c r="B90" s="493" t="s">
        <v>173</v>
      </c>
      <c r="C90" s="437"/>
      <c r="D90" s="438"/>
      <c r="E90" s="494">
        <f t="shared" si="5"/>
        <v>58600</v>
      </c>
      <c r="F90" s="437">
        <f>35000+25000-1400</f>
        <v>58600</v>
      </c>
      <c r="G90" s="495">
        <v>0</v>
      </c>
      <c r="H90" s="366" t="s">
        <v>109</v>
      </c>
    </row>
    <row r="91" spans="1:7" s="313" customFormat="1" ht="14.25" customHeight="1" thickBot="1">
      <c r="A91" s="634" t="s">
        <v>60</v>
      </c>
      <c r="B91" s="469"/>
      <c r="C91" s="470"/>
      <c r="D91" s="471"/>
      <c r="E91" s="472">
        <f t="shared" si="5"/>
        <v>342</v>
      </c>
      <c r="F91" s="473">
        <f>SUM(F92)</f>
        <v>342</v>
      </c>
      <c r="G91" s="474">
        <f>SUM(G92:G93)</f>
        <v>0</v>
      </c>
    </row>
    <row r="92" spans="1:7" s="313" customFormat="1" ht="16.5" customHeight="1" thickBot="1">
      <c r="A92" s="633" t="s">
        <v>61</v>
      </c>
      <c r="B92" s="425" t="s">
        <v>62</v>
      </c>
      <c r="C92" s="465"/>
      <c r="D92" s="466"/>
      <c r="E92" s="399">
        <f t="shared" si="5"/>
        <v>342</v>
      </c>
      <c r="F92" s="475">
        <f>342+10000-10000</f>
        <v>342</v>
      </c>
      <c r="G92" s="424">
        <v>0</v>
      </c>
    </row>
    <row r="93" spans="1:7" s="313" customFormat="1" ht="28.5" customHeight="1" hidden="1">
      <c r="A93" s="638" t="s">
        <v>48</v>
      </c>
      <c r="B93" s="493" t="s">
        <v>49</v>
      </c>
      <c r="C93" s="437"/>
      <c r="D93" s="438"/>
      <c r="E93" s="494">
        <f t="shared" si="5"/>
        <v>0</v>
      </c>
      <c r="F93" s="437">
        <v>0</v>
      </c>
      <c r="G93" s="495">
        <v>0</v>
      </c>
    </row>
    <row r="94" spans="1:7" s="313" customFormat="1" ht="12.75" customHeight="1" hidden="1">
      <c r="A94" s="855" t="s">
        <v>6</v>
      </c>
      <c r="B94" s="785" t="s">
        <v>7</v>
      </c>
      <c r="C94" s="406" t="s">
        <v>18</v>
      </c>
      <c r="D94" s="407" t="s">
        <v>8</v>
      </c>
      <c r="E94" s="787" t="s">
        <v>96</v>
      </c>
      <c r="F94" s="834" t="s">
        <v>19</v>
      </c>
      <c r="G94" s="835"/>
    </row>
    <row r="95" spans="1:7" s="313" customFormat="1" ht="12.75" customHeight="1" hidden="1">
      <c r="A95" s="856"/>
      <c r="B95" s="831"/>
      <c r="C95" s="408" t="s">
        <v>0</v>
      </c>
      <c r="D95" s="409" t="s">
        <v>14</v>
      </c>
      <c r="E95" s="788"/>
      <c r="F95" s="836" t="s">
        <v>54</v>
      </c>
      <c r="G95" s="838" t="s">
        <v>55</v>
      </c>
    </row>
    <row r="96" spans="1:7" s="313" customFormat="1" ht="10.5" customHeight="1" hidden="1">
      <c r="A96" s="857"/>
      <c r="B96" s="832"/>
      <c r="C96" s="410"/>
      <c r="D96" s="411" t="s">
        <v>15</v>
      </c>
      <c r="E96" s="833"/>
      <c r="F96" s="837"/>
      <c r="G96" s="839"/>
    </row>
    <row r="97" spans="1:7" s="313" customFormat="1" ht="20.25" customHeight="1" hidden="1">
      <c r="A97" s="639"/>
      <c r="B97" s="496" t="s">
        <v>38</v>
      </c>
      <c r="C97" s="460"/>
      <c r="D97" s="461"/>
      <c r="E97" s="483">
        <f aca="true" t="shared" si="6" ref="E97:E115">SUM(F97:G97)</f>
        <v>0</v>
      </c>
      <c r="F97" s="484">
        <v>0</v>
      </c>
      <c r="G97" s="485">
        <v>0</v>
      </c>
    </row>
    <row r="98" spans="1:9" s="304" customFormat="1" ht="16.5" customHeight="1" thickBot="1">
      <c r="A98" s="634" t="s">
        <v>12</v>
      </c>
      <c r="B98" s="497"/>
      <c r="C98" s="498">
        <v>12500</v>
      </c>
      <c r="D98" s="499">
        <v>12500</v>
      </c>
      <c r="E98" s="472">
        <f t="shared" si="6"/>
        <v>2058387</v>
      </c>
      <c r="F98" s="500">
        <f>SUM(F99:F109)+F110</f>
        <v>2058387</v>
      </c>
      <c r="G98" s="474">
        <f>SUM(G99:G103)</f>
        <v>0</v>
      </c>
      <c r="H98" s="207"/>
      <c r="I98" s="207"/>
    </row>
    <row r="99" spans="1:9" s="304" customFormat="1" ht="18.75" customHeight="1">
      <c r="A99" s="640" t="s">
        <v>26</v>
      </c>
      <c r="B99" s="416" t="s">
        <v>101</v>
      </c>
      <c r="C99" s="501"/>
      <c r="D99" s="502"/>
      <c r="E99" s="381">
        <f t="shared" si="6"/>
        <v>550000</v>
      </c>
      <c r="F99" s="503">
        <v>550000</v>
      </c>
      <c r="G99" s="445">
        <v>0</v>
      </c>
      <c r="H99" s="207"/>
      <c r="I99" s="207"/>
    </row>
    <row r="100" spans="1:9" s="304" customFormat="1" ht="21" customHeight="1">
      <c r="A100" s="641"/>
      <c r="B100" s="416" t="s">
        <v>112</v>
      </c>
      <c r="C100" s="501"/>
      <c r="D100" s="502"/>
      <c r="E100" s="381">
        <f t="shared" si="6"/>
        <v>1245687</v>
      </c>
      <c r="F100" s="503">
        <f>1205687+40000</f>
        <v>1245687</v>
      </c>
      <c r="G100" s="445">
        <v>0</v>
      </c>
      <c r="H100" s="207"/>
      <c r="I100" s="207"/>
    </row>
    <row r="101" spans="1:9" s="304" customFormat="1" ht="19.5" customHeight="1">
      <c r="A101" s="642"/>
      <c r="B101" s="415" t="s">
        <v>92</v>
      </c>
      <c r="C101" s="504">
        <v>47000</v>
      </c>
      <c r="D101" s="505">
        <v>47000</v>
      </c>
      <c r="E101" s="399">
        <f t="shared" si="6"/>
        <v>10000</v>
      </c>
      <c r="F101" s="506">
        <v>10000</v>
      </c>
      <c r="G101" s="443">
        <v>0</v>
      </c>
      <c r="H101" s="207"/>
      <c r="I101" s="207"/>
    </row>
    <row r="102" spans="1:9" s="304" customFormat="1" ht="18" customHeight="1" thickBot="1">
      <c r="A102" s="643"/>
      <c r="B102" s="507" t="s">
        <v>122</v>
      </c>
      <c r="C102" s="508"/>
      <c r="D102" s="508"/>
      <c r="E102" s="399">
        <f t="shared" si="6"/>
        <v>7000</v>
      </c>
      <c r="F102" s="506">
        <v>7000</v>
      </c>
      <c r="G102" s="443"/>
      <c r="H102" s="207"/>
      <c r="I102" s="207"/>
    </row>
    <row r="103" spans="1:9" s="304" customFormat="1" ht="17.25" customHeight="1">
      <c r="A103" s="644" t="s">
        <v>27</v>
      </c>
      <c r="B103" s="415" t="s">
        <v>174</v>
      </c>
      <c r="C103" s="501"/>
      <c r="D103" s="502"/>
      <c r="E103" s="444">
        <f t="shared" si="6"/>
        <v>240000</v>
      </c>
      <c r="F103" s="503">
        <f>210000+30000</f>
        <v>240000</v>
      </c>
      <c r="G103" s="445">
        <v>0</v>
      </c>
      <c r="H103" s="207"/>
      <c r="I103" s="207"/>
    </row>
    <row r="104" spans="1:7" ht="15.75" hidden="1">
      <c r="A104" s="645" t="s">
        <v>63</v>
      </c>
      <c r="B104" s="416"/>
      <c r="C104" s="379"/>
      <c r="D104" s="380"/>
      <c r="E104" s="509">
        <f t="shared" si="6"/>
        <v>0</v>
      </c>
      <c r="F104" s="510">
        <f>SUM(F105)</f>
        <v>0</v>
      </c>
      <c r="G104" s="511">
        <f>SUM(G105)</f>
        <v>0</v>
      </c>
    </row>
    <row r="105" spans="1:7" ht="24" customHeight="1" hidden="1">
      <c r="A105" s="646" t="s">
        <v>64</v>
      </c>
      <c r="B105" s="493" t="s">
        <v>87</v>
      </c>
      <c r="C105" s="437"/>
      <c r="D105" s="438"/>
      <c r="E105" s="512">
        <f t="shared" si="6"/>
        <v>0</v>
      </c>
      <c r="F105" s="439">
        <v>0</v>
      </c>
      <c r="G105" s="440">
        <v>0</v>
      </c>
    </row>
    <row r="106" spans="1:7" ht="24" customHeight="1" hidden="1">
      <c r="A106" s="647"/>
      <c r="B106" s="416" t="s">
        <v>110</v>
      </c>
      <c r="C106" s="501"/>
      <c r="D106" s="502"/>
      <c r="E106" s="444">
        <f t="shared" si="6"/>
        <v>0</v>
      </c>
      <c r="F106" s="503">
        <v>0</v>
      </c>
      <c r="G106" s="513">
        <v>0</v>
      </c>
    </row>
    <row r="107" spans="1:7" ht="16.5" customHeight="1" hidden="1">
      <c r="A107" s="648"/>
      <c r="B107" s="416" t="s">
        <v>111</v>
      </c>
      <c r="C107" s="501"/>
      <c r="D107" s="502"/>
      <c r="E107" s="444">
        <f t="shared" si="6"/>
        <v>0</v>
      </c>
      <c r="F107" s="503">
        <v>0</v>
      </c>
      <c r="G107" s="445">
        <v>0</v>
      </c>
    </row>
    <row r="108" spans="1:7" ht="18" customHeight="1" hidden="1">
      <c r="A108" s="649" t="s">
        <v>99</v>
      </c>
      <c r="B108" s="416" t="s">
        <v>100</v>
      </c>
      <c r="C108" s="501"/>
      <c r="D108" s="502"/>
      <c r="E108" s="444">
        <f t="shared" si="6"/>
        <v>0</v>
      </c>
      <c r="F108" s="503">
        <v>0</v>
      </c>
      <c r="G108" s="445">
        <v>0</v>
      </c>
    </row>
    <row r="109" spans="1:7" ht="18" customHeight="1" hidden="1">
      <c r="A109" s="650"/>
      <c r="B109" s="415" t="s">
        <v>92</v>
      </c>
      <c r="C109" s="504">
        <v>47000</v>
      </c>
      <c r="D109" s="505">
        <v>47000</v>
      </c>
      <c r="E109" s="399">
        <f t="shared" si="6"/>
        <v>0</v>
      </c>
      <c r="F109" s="506">
        <v>0</v>
      </c>
      <c r="G109" s="443">
        <v>0</v>
      </c>
    </row>
    <row r="110" spans="1:7" ht="18" customHeight="1" thickBot="1">
      <c r="A110" s="650" t="s">
        <v>178</v>
      </c>
      <c r="B110" s="496" t="s">
        <v>179</v>
      </c>
      <c r="C110" s="514"/>
      <c r="D110" s="515"/>
      <c r="E110" s="444">
        <f t="shared" si="6"/>
        <v>5700</v>
      </c>
      <c r="F110" s="503">
        <v>5700</v>
      </c>
      <c r="G110" s="445">
        <v>0</v>
      </c>
    </row>
    <row r="111" spans="1:7" ht="18" customHeight="1" thickBot="1">
      <c r="A111" s="634" t="s">
        <v>107</v>
      </c>
      <c r="B111" s="497"/>
      <c r="C111" s="498">
        <v>12500</v>
      </c>
      <c r="D111" s="499">
        <v>12500</v>
      </c>
      <c r="E111" s="472">
        <f t="shared" si="6"/>
        <v>50000</v>
      </c>
      <c r="F111" s="516">
        <f>SUM(F112)</f>
        <v>50000</v>
      </c>
      <c r="G111" s="474">
        <f>SUM(G112)</f>
        <v>0</v>
      </c>
    </row>
    <row r="112" spans="1:7" ht="20.25" customHeight="1" thickBot="1">
      <c r="A112" s="651" t="s">
        <v>108</v>
      </c>
      <c r="B112" s="416" t="s">
        <v>162</v>
      </c>
      <c r="C112" s="501"/>
      <c r="D112" s="502"/>
      <c r="E112" s="381">
        <f t="shared" si="6"/>
        <v>50000</v>
      </c>
      <c r="F112" s="503">
        <f>50000-50000+50000</f>
        <v>50000</v>
      </c>
      <c r="G112" s="445">
        <v>0</v>
      </c>
    </row>
    <row r="113" spans="1:7" s="313" customFormat="1" ht="31.5" customHeight="1" thickBot="1">
      <c r="A113" s="652" t="s">
        <v>9</v>
      </c>
      <c r="B113" s="426"/>
      <c r="C113" s="427">
        <v>40000</v>
      </c>
      <c r="D113" s="517">
        <v>40000</v>
      </c>
      <c r="E113" s="472">
        <f t="shared" si="6"/>
        <v>143500</v>
      </c>
      <c r="F113" s="518">
        <f>SUM(F115:F120)</f>
        <v>143500</v>
      </c>
      <c r="G113" s="519">
        <f>SUM(G115:G120)</f>
        <v>0</v>
      </c>
    </row>
    <row r="114" spans="1:7" s="313" customFormat="1" ht="13.5" customHeight="1" hidden="1">
      <c r="A114" s="653"/>
      <c r="B114" s="520"/>
      <c r="C114" s="521"/>
      <c r="D114" s="522"/>
      <c r="E114" s="399">
        <f t="shared" si="6"/>
        <v>0</v>
      </c>
      <c r="F114" s="523"/>
      <c r="G114" s="511"/>
    </row>
    <row r="115" spans="1:7" s="313" customFormat="1" ht="19.5" customHeight="1" hidden="1">
      <c r="A115" s="654" t="s">
        <v>89</v>
      </c>
      <c r="B115" s="524" t="s">
        <v>91</v>
      </c>
      <c r="C115" s="525">
        <v>36475</v>
      </c>
      <c r="D115" s="526">
        <v>36475</v>
      </c>
      <c r="E115" s="494">
        <f t="shared" si="6"/>
        <v>0</v>
      </c>
      <c r="F115" s="527">
        <v>0</v>
      </c>
      <c r="G115" s="440">
        <v>0</v>
      </c>
    </row>
    <row r="116" spans="1:7" s="313" customFormat="1" ht="15.75" customHeight="1" hidden="1">
      <c r="A116" s="855" t="s">
        <v>6</v>
      </c>
      <c r="B116" s="785" t="s">
        <v>7</v>
      </c>
      <c r="C116" s="406" t="s">
        <v>18</v>
      </c>
      <c r="D116" s="407" t="s">
        <v>8</v>
      </c>
      <c r="E116" s="813" t="s">
        <v>37</v>
      </c>
      <c r="F116" s="816" t="s">
        <v>19</v>
      </c>
      <c r="G116" s="817"/>
    </row>
    <row r="117" spans="1:7" s="313" customFormat="1" ht="16.5" hidden="1" thickBot="1">
      <c r="A117" s="856"/>
      <c r="B117" s="831"/>
      <c r="C117" s="408" t="s">
        <v>0</v>
      </c>
      <c r="D117" s="409" t="s">
        <v>14</v>
      </c>
      <c r="E117" s="814"/>
      <c r="F117" s="818" t="s">
        <v>13</v>
      </c>
      <c r="G117" s="820" t="s">
        <v>20</v>
      </c>
    </row>
    <row r="118" spans="1:7" s="313" customFormat="1" ht="15" customHeight="1" hidden="1">
      <c r="A118" s="857"/>
      <c r="B118" s="832"/>
      <c r="C118" s="410"/>
      <c r="D118" s="411" t="s">
        <v>15</v>
      </c>
      <c r="E118" s="815"/>
      <c r="F118" s="819"/>
      <c r="G118" s="821"/>
    </row>
    <row r="119" spans="1:7" s="313" customFormat="1" ht="45" customHeight="1" hidden="1">
      <c r="A119" s="654" t="s">
        <v>40</v>
      </c>
      <c r="B119" s="528" t="s">
        <v>41</v>
      </c>
      <c r="C119" s="529">
        <v>36475</v>
      </c>
      <c r="D119" s="530">
        <v>36475</v>
      </c>
      <c r="E119" s="400">
        <f aca="true" t="shared" si="7" ref="E119:E129">SUM(F119:G119)</f>
        <v>0</v>
      </c>
      <c r="F119" s="531">
        <v>0</v>
      </c>
      <c r="G119" s="513">
        <v>0</v>
      </c>
    </row>
    <row r="120" spans="1:7" s="313" customFormat="1" ht="18" customHeight="1" thickBot="1">
      <c r="A120" s="655" t="s">
        <v>35</v>
      </c>
      <c r="B120" s="532"/>
      <c r="C120" s="533"/>
      <c r="D120" s="534"/>
      <c r="E120" s="535">
        <f t="shared" si="7"/>
        <v>143500</v>
      </c>
      <c r="F120" s="536">
        <f>SUM(F121:F129)</f>
        <v>143500</v>
      </c>
      <c r="G120" s="536">
        <f>SUM(G121:G129)</f>
        <v>0</v>
      </c>
    </row>
    <row r="121" spans="1:7" s="313" customFormat="1" ht="16.5" customHeight="1">
      <c r="A121" s="656"/>
      <c r="B121" s="537" t="s">
        <v>116</v>
      </c>
      <c r="C121" s="538">
        <v>36475</v>
      </c>
      <c r="D121" s="539">
        <v>36475</v>
      </c>
      <c r="E121" s="540">
        <f t="shared" si="7"/>
        <v>40000</v>
      </c>
      <c r="F121" s="488">
        <v>40000</v>
      </c>
      <c r="G121" s="393">
        <v>0</v>
      </c>
    </row>
    <row r="122" spans="1:7" s="313" customFormat="1" ht="16.5" customHeight="1">
      <c r="A122" s="657"/>
      <c r="B122" s="541" t="s">
        <v>117</v>
      </c>
      <c r="C122" s="542"/>
      <c r="D122" s="543"/>
      <c r="E122" s="401">
        <f t="shared" si="7"/>
        <v>15000</v>
      </c>
      <c r="F122" s="435">
        <v>15000</v>
      </c>
      <c r="G122" s="382">
        <v>0</v>
      </c>
    </row>
    <row r="123" spans="1:7" s="313" customFormat="1" ht="18" customHeight="1">
      <c r="A123" s="657"/>
      <c r="B123" s="541" t="s">
        <v>118</v>
      </c>
      <c r="C123" s="538"/>
      <c r="D123" s="539"/>
      <c r="E123" s="401">
        <f t="shared" si="7"/>
        <v>8000</v>
      </c>
      <c r="F123" s="488">
        <v>8000</v>
      </c>
      <c r="G123" s="393">
        <v>0</v>
      </c>
    </row>
    <row r="124" spans="1:7" s="313" customFormat="1" ht="15.75" customHeight="1">
      <c r="A124" s="657"/>
      <c r="B124" s="544" t="s">
        <v>90</v>
      </c>
      <c r="C124" s="538"/>
      <c r="D124" s="539"/>
      <c r="E124" s="401">
        <f t="shared" si="7"/>
        <v>8200</v>
      </c>
      <c r="F124" s="545">
        <v>8200</v>
      </c>
      <c r="G124" s="393">
        <v>0</v>
      </c>
    </row>
    <row r="125" spans="1:7" s="313" customFormat="1" ht="16.5" customHeight="1">
      <c r="A125" s="657"/>
      <c r="B125" s="541" t="s">
        <v>119</v>
      </c>
      <c r="C125" s="542"/>
      <c r="D125" s="543"/>
      <c r="E125" s="540">
        <f t="shared" si="7"/>
        <v>3000</v>
      </c>
      <c r="F125" s="546">
        <v>3000</v>
      </c>
      <c r="G125" s="382">
        <v>0</v>
      </c>
    </row>
    <row r="126" spans="1:8" s="313" customFormat="1" ht="16.5" customHeight="1">
      <c r="A126" s="657"/>
      <c r="B126" s="541" t="s">
        <v>144</v>
      </c>
      <c r="C126" s="542"/>
      <c r="D126" s="543"/>
      <c r="E126" s="540">
        <f t="shared" si="7"/>
        <v>29000</v>
      </c>
      <c r="F126" s="546">
        <v>29000</v>
      </c>
      <c r="G126" s="382"/>
      <c r="H126" s="313" t="s">
        <v>145</v>
      </c>
    </row>
    <row r="127" spans="1:7" s="313" customFormat="1" ht="17.25" customHeight="1">
      <c r="A127" s="657"/>
      <c r="B127" s="541" t="s">
        <v>121</v>
      </c>
      <c r="C127" s="542"/>
      <c r="D127" s="543"/>
      <c r="E127" s="540">
        <f t="shared" si="7"/>
        <v>3000</v>
      </c>
      <c r="F127" s="546">
        <v>3000</v>
      </c>
      <c r="G127" s="382"/>
    </row>
    <row r="128" spans="1:7" s="313" customFormat="1" ht="20.25" customHeight="1">
      <c r="A128" s="657"/>
      <c r="B128" s="541" t="s">
        <v>141</v>
      </c>
      <c r="C128" s="542"/>
      <c r="D128" s="543"/>
      <c r="E128" s="540">
        <f t="shared" si="7"/>
        <v>24500</v>
      </c>
      <c r="F128" s="546">
        <f>25000-500</f>
        <v>24500</v>
      </c>
      <c r="G128" s="382"/>
    </row>
    <row r="129" spans="1:8" s="313" customFormat="1" ht="20.25" customHeight="1" thickBot="1">
      <c r="A129" s="657"/>
      <c r="B129" s="547" t="s">
        <v>120</v>
      </c>
      <c r="C129" s="529"/>
      <c r="D129" s="530"/>
      <c r="E129" s="548">
        <f t="shared" si="7"/>
        <v>12800</v>
      </c>
      <c r="F129" s="549">
        <f>12300+500</f>
        <v>12800</v>
      </c>
      <c r="G129" s="387"/>
      <c r="H129" s="313" t="s">
        <v>160</v>
      </c>
    </row>
    <row r="130" spans="1:7" ht="15" customHeight="1">
      <c r="A130" s="855" t="s">
        <v>6</v>
      </c>
      <c r="B130" s="785" t="s">
        <v>7</v>
      </c>
      <c r="C130" s="406" t="s">
        <v>18</v>
      </c>
      <c r="D130" s="407" t="s">
        <v>8</v>
      </c>
      <c r="E130" s="813" t="s">
        <v>165</v>
      </c>
      <c r="F130" s="816" t="s">
        <v>19</v>
      </c>
      <c r="G130" s="817"/>
    </row>
    <row r="131" spans="1:7" ht="12.75" customHeight="1">
      <c r="A131" s="856"/>
      <c r="B131" s="831"/>
      <c r="C131" s="408" t="s">
        <v>0</v>
      </c>
      <c r="D131" s="409" t="s">
        <v>14</v>
      </c>
      <c r="E131" s="814"/>
      <c r="F131" s="791" t="s">
        <v>13</v>
      </c>
      <c r="G131" s="793" t="str">
        <f>G5</f>
        <v>środki zewnętrzne (zł)</v>
      </c>
    </row>
    <row r="132" spans="1:7" ht="18" customHeight="1" thickBot="1">
      <c r="A132" s="857"/>
      <c r="B132" s="832"/>
      <c r="C132" s="410"/>
      <c r="D132" s="411" t="s">
        <v>15</v>
      </c>
      <c r="E132" s="815"/>
      <c r="F132" s="840"/>
      <c r="G132" s="841"/>
    </row>
    <row r="133" spans="1:17" ht="28.5" customHeight="1" thickBot="1">
      <c r="A133" s="652" t="s">
        <v>21</v>
      </c>
      <c r="B133" s="426"/>
      <c r="C133" s="427">
        <v>23200</v>
      </c>
      <c r="D133" s="517">
        <v>23200</v>
      </c>
      <c r="E133" s="550">
        <f aca="true" t="shared" si="8" ref="E133:E149">SUM(F133:G133)</f>
        <v>58520.85</v>
      </c>
      <c r="F133" s="551">
        <f>SUM(F134:F143)</f>
        <v>58520.85</v>
      </c>
      <c r="G133" s="552">
        <f>SUM(G134:G142)</f>
        <v>0</v>
      </c>
      <c r="K133" s="307"/>
      <c r="L133" s="307"/>
      <c r="M133" s="308"/>
      <c r="N133" s="308"/>
      <c r="O133" s="309"/>
      <c r="P133" s="310"/>
      <c r="Q133" s="310"/>
    </row>
    <row r="134" spans="1:7" ht="25.5">
      <c r="A134" s="639" t="s">
        <v>22</v>
      </c>
      <c r="B134" s="553" t="s">
        <v>142</v>
      </c>
      <c r="C134" s="554">
        <v>1500</v>
      </c>
      <c r="D134" s="555">
        <v>1500</v>
      </c>
      <c r="E134" s="556">
        <f t="shared" si="8"/>
        <v>0</v>
      </c>
      <c r="F134" s="488">
        <f>75000-20000-55000</f>
        <v>0</v>
      </c>
      <c r="G134" s="393">
        <v>0</v>
      </c>
    </row>
    <row r="135" spans="1:8" ht="17.25" customHeight="1" thickBot="1">
      <c r="A135" s="658"/>
      <c r="B135" s="557" t="s">
        <v>155</v>
      </c>
      <c r="C135" s="558"/>
      <c r="D135" s="559"/>
      <c r="E135" s="556">
        <f t="shared" si="8"/>
        <v>35000</v>
      </c>
      <c r="F135" s="488">
        <v>35000</v>
      </c>
      <c r="G135" s="393">
        <v>0</v>
      </c>
      <c r="H135" s="313" t="s">
        <v>133</v>
      </c>
    </row>
    <row r="136" spans="1:7" ht="15.75" hidden="1" thickBot="1">
      <c r="A136" s="659"/>
      <c r="B136" s="416" t="s">
        <v>88</v>
      </c>
      <c r="C136" s="560"/>
      <c r="D136" s="561"/>
      <c r="E136" s="562">
        <f t="shared" si="8"/>
        <v>0</v>
      </c>
      <c r="F136" s="435">
        <v>0</v>
      </c>
      <c r="G136" s="382">
        <v>0</v>
      </c>
    </row>
    <row r="137" spans="1:8" ht="17.25" customHeight="1" thickBot="1">
      <c r="A137" s="659"/>
      <c r="B137" s="563" t="s">
        <v>158</v>
      </c>
      <c r="C137" s="560">
        <v>1500</v>
      </c>
      <c r="D137" s="561">
        <v>1500</v>
      </c>
      <c r="E137" s="556">
        <f t="shared" si="8"/>
        <v>7500</v>
      </c>
      <c r="F137" s="540">
        <v>7500</v>
      </c>
      <c r="G137" s="382">
        <v>0</v>
      </c>
      <c r="H137" s="313" t="s">
        <v>159</v>
      </c>
    </row>
    <row r="138" spans="1:7" ht="22.5" customHeight="1" hidden="1">
      <c r="A138" s="659"/>
      <c r="B138" s="564" t="s">
        <v>97</v>
      </c>
      <c r="C138" s="560"/>
      <c r="D138" s="561"/>
      <c r="E138" s="556">
        <f t="shared" si="8"/>
        <v>0</v>
      </c>
      <c r="F138" s="540">
        <v>0</v>
      </c>
      <c r="G138" s="382">
        <v>0</v>
      </c>
    </row>
    <row r="139" spans="1:7" ht="17.25" customHeight="1" hidden="1">
      <c r="A139" s="659"/>
      <c r="B139" s="564" t="s">
        <v>93</v>
      </c>
      <c r="C139" s="560"/>
      <c r="D139" s="561"/>
      <c r="E139" s="556">
        <f t="shared" si="8"/>
        <v>0</v>
      </c>
      <c r="F139" s="540">
        <v>0</v>
      </c>
      <c r="G139" s="382">
        <v>0</v>
      </c>
    </row>
    <row r="140" spans="1:7" ht="17.25" customHeight="1" hidden="1">
      <c r="A140" s="659"/>
      <c r="B140" s="565" t="s">
        <v>86</v>
      </c>
      <c r="C140" s="560"/>
      <c r="D140" s="561"/>
      <c r="E140" s="562">
        <f t="shared" si="8"/>
        <v>0</v>
      </c>
      <c r="F140" s="435">
        <v>0</v>
      </c>
      <c r="G140" s="382">
        <v>0</v>
      </c>
    </row>
    <row r="141" spans="1:7" ht="15.75" customHeight="1" hidden="1" thickBot="1">
      <c r="A141" s="659"/>
      <c r="B141" s="416" t="s">
        <v>113</v>
      </c>
      <c r="C141" s="560"/>
      <c r="D141" s="561"/>
      <c r="E141" s="562">
        <f t="shared" si="8"/>
        <v>0</v>
      </c>
      <c r="F141" s="435">
        <v>0</v>
      </c>
      <c r="G141" s="382">
        <v>0</v>
      </c>
    </row>
    <row r="142" spans="1:10" ht="15.75" thickBot="1">
      <c r="A142" s="579"/>
      <c r="B142" s="528" t="s">
        <v>200</v>
      </c>
      <c r="C142" s="566"/>
      <c r="D142" s="567"/>
      <c r="E142" s="660">
        <f t="shared" si="8"/>
        <v>11020.85</v>
      </c>
      <c r="F142" s="661">
        <f>0+11020.85</f>
        <v>11020.85</v>
      </c>
      <c r="G142" s="387">
        <v>0</v>
      </c>
      <c r="H142" s="335"/>
      <c r="J142" s="306"/>
    </row>
    <row r="143" spans="1:10" ht="30" customHeight="1" thickBot="1">
      <c r="A143" s="662" t="s">
        <v>59</v>
      </c>
      <c r="B143" s="570" t="s">
        <v>156</v>
      </c>
      <c r="C143" s="571">
        <v>1500</v>
      </c>
      <c r="D143" s="572">
        <v>1500</v>
      </c>
      <c r="E143" s="573">
        <f t="shared" si="8"/>
        <v>5000</v>
      </c>
      <c r="F143" s="448">
        <v>5000</v>
      </c>
      <c r="G143" s="495">
        <v>0</v>
      </c>
      <c r="H143" s="335" t="s">
        <v>157</v>
      </c>
      <c r="J143" s="306"/>
    </row>
    <row r="144" spans="1:7" ht="18" customHeight="1" thickBot="1">
      <c r="A144" s="663" t="s">
        <v>23</v>
      </c>
      <c r="B144" s="426"/>
      <c r="C144" s="427">
        <v>23200</v>
      </c>
      <c r="D144" s="517">
        <v>23200</v>
      </c>
      <c r="E144" s="472">
        <f t="shared" si="8"/>
        <v>210500</v>
      </c>
      <c r="F144" s="427">
        <f>SUM(F145:F159)</f>
        <v>180500</v>
      </c>
      <c r="G144" s="552">
        <f>SUM(G145:G159)</f>
        <v>30000</v>
      </c>
    </row>
    <row r="145" spans="1:10" ht="15.75" thickBot="1">
      <c r="A145" s="664" t="s">
        <v>24</v>
      </c>
      <c r="B145" s="574" t="s">
        <v>147</v>
      </c>
      <c r="C145" s="558">
        <v>1500</v>
      </c>
      <c r="D145" s="559">
        <v>1500</v>
      </c>
      <c r="E145" s="540">
        <f t="shared" si="8"/>
        <v>33500</v>
      </c>
      <c r="F145" s="488">
        <v>33500</v>
      </c>
      <c r="G145" s="393">
        <v>0</v>
      </c>
      <c r="H145" s="313" t="s">
        <v>148</v>
      </c>
      <c r="J145" s="302"/>
    </row>
    <row r="146" spans="1:10" s="666" customFormat="1" ht="15.75" thickBot="1">
      <c r="A146" s="658"/>
      <c r="B146" s="575" t="s">
        <v>103</v>
      </c>
      <c r="C146" s="560"/>
      <c r="D146" s="561"/>
      <c r="E146" s="540">
        <f t="shared" si="8"/>
        <v>31000</v>
      </c>
      <c r="F146" s="435">
        <f>14000+17000-15000+13600+1400</f>
        <v>31000</v>
      </c>
      <c r="G146" s="382">
        <v>0</v>
      </c>
      <c r="H146" s="366" t="s">
        <v>151</v>
      </c>
      <c r="I146" s="366"/>
      <c r="J146" s="686"/>
    </row>
    <row r="147" spans="1:10" s="666" customFormat="1" ht="15.75" thickBot="1">
      <c r="A147" s="659"/>
      <c r="B147" s="395" t="s">
        <v>67</v>
      </c>
      <c r="C147" s="560"/>
      <c r="D147" s="561"/>
      <c r="E147" s="540">
        <f t="shared" si="8"/>
        <v>15000</v>
      </c>
      <c r="F147" s="435">
        <f>15000-5000+5000</f>
        <v>15000</v>
      </c>
      <c r="G147" s="382">
        <v>0</v>
      </c>
      <c r="H147" s="687" t="s">
        <v>143</v>
      </c>
      <c r="I147" s="366"/>
      <c r="J147" s="686"/>
    </row>
    <row r="148" spans="1:10" ht="15.75" thickBot="1">
      <c r="A148" s="659"/>
      <c r="B148" s="413" t="s">
        <v>146</v>
      </c>
      <c r="C148" s="560"/>
      <c r="D148" s="561"/>
      <c r="E148" s="540">
        <f t="shared" si="8"/>
        <v>5000</v>
      </c>
      <c r="F148" s="435">
        <v>5000</v>
      </c>
      <c r="G148" s="382">
        <v>0</v>
      </c>
      <c r="H148" s="356" t="s">
        <v>157</v>
      </c>
      <c r="J148" s="302"/>
    </row>
    <row r="149" spans="1:10" s="666" customFormat="1" ht="30.75" thickBot="1">
      <c r="A149" s="659"/>
      <c r="B149" s="413" t="s">
        <v>95</v>
      </c>
      <c r="C149" s="560"/>
      <c r="D149" s="561"/>
      <c r="E149" s="401">
        <f t="shared" si="8"/>
        <v>113500</v>
      </c>
      <c r="F149" s="435">
        <f>60000+20000+3500</f>
        <v>83500</v>
      </c>
      <c r="G149" s="382">
        <f>0+30000</f>
        <v>30000</v>
      </c>
      <c r="H149" s="687" t="s">
        <v>150</v>
      </c>
      <c r="I149" s="366"/>
      <c r="J149" s="686"/>
    </row>
    <row r="150" spans="1:10" s="666" customFormat="1" ht="12.75" hidden="1">
      <c r="A150" s="810" t="s">
        <v>6</v>
      </c>
      <c r="B150" s="785" t="s">
        <v>7</v>
      </c>
      <c r="C150" s="370" t="s">
        <v>18</v>
      </c>
      <c r="D150" s="371" t="s">
        <v>8</v>
      </c>
      <c r="E150" s="842" t="s">
        <v>96</v>
      </c>
      <c r="F150" s="789" t="s">
        <v>19</v>
      </c>
      <c r="G150" s="790"/>
      <c r="H150" s="687"/>
      <c r="I150" s="366"/>
      <c r="J150" s="686"/>
    </row>
    <row r="151" spans="1:10" s="666" customFormat="1" ht="12.75" hidden="1">
      <c r="A151" s="854"/>
      <c r="B151" s="786"/>
      <c r="C151" s="372" t="s">
        <v>0</v>
      </c>
      <c r="D151" s="373" t="s">
        <v>14</v>
      </c>
      <c r="E151" s="843"/>
      <c r="F151" s="791" t="s">
        <v>54</v>
      </c>
      <c r="G151" s="793" t="s">
        <v>55</v>
      </c>
      <c r="H151" s="687"/>
      <c r="I151" s="366"/>
      <c r="J151" s="686"/>
    </row>
    <row r="152" spans="1:10" s="666" customFormat="1" ht="12.75" hidden="1">
      <c r="A152" s="854"/>
      <c r="B152" s="786"/>
      <c r="C152" s="372"/>
      <c r="D152" s="373" t="s">
        <v>15</v>
      </c>
      <c r="E152" s="844"/>
      <c r="F152" s="845"/>
      <c r="G152" s="846"/>
      <c r="H152" s="687"/>
      <c r="I152" s="366"/>
      <c r="J152" s="686"/>
    </row>
    <row r="153" spans="1:10" s="666" customFormat="1" ht="17.25" customHeight="1">
      <c r="A153" s="665"/>
      <c r="B153" s="576" t="s">
        <v>58</v>
      </c>
      <c r="C153" s="538"/>
      <c r="D153" s="539"/>
      <c r="E153" s="540">
        <f aca="true" t="shared" si="9" ref="E153:E159">SUM(F153:G153)</f>
        <v>0</v>
      </c>
      <c r="F153" s="546">
        <f>12000-12000</f>
        <v>0</v>
      </c>
      <c r="G153" s="393">
        <v>0</v>
      </c>
      <c r="H153" s="687" t="s">
        <v>152</v>
      </c>
      <c r="I153" s="366"/>
      <c r="J153" s="686"/>
    </row>
    <row r="154" spans="1:10" s="666" customFormat="1" ht="15.75" thickBot="1">
      <c r="A154" s="659"/>
      <c r="B154" s="577" t="s">
        <v>206</v>
      </c>
      <c r="C154" s="560"/>
      <c r="D154" s="561"/>
      <c r="E154" s="401">
        <f t="shared" si="9"/>
        <v>1000</v>
      </c>
      <c r="F154" s="435">
        <f>0+1000</f>
        <v>1000</v>
      </c>
      <c r="G154" s="382">
        <v>0</v>
      </c>
      <c r="H154" s="688" t="s">
        <v>205</v>
      </c>
      <c r="I154" s="366"/>
      <c r="J154" s="686"/>
    </row>
    <row r="155" spans="1:10" ht="18.75" customHeight="1" thickBot="1">
      <c r="A155" s="659"/>
      <c r="B155" s="575" t="s">
        <v>153</v>
      </c>
      <c r="C155" s="560"/>
      <c r="D155" s="561"/>
      <c r="E155" s="401">
        <f t="shared" si="9"/>
        <v>5500</v>
      </c>
      <c r="F155" s="435">
        <f>5000+500</f>
        <v>5500</v>
      </c>
      <c r="G155" s="382">
        <v>0</v>
      </c>
      <c r="H155" s="356" t="s">
        <v>154</v>
      </c>
      <c r="J155" s="302"/>
    </row>
    <row r="156" spans="1:10" ht="15.75" hidden="1" thickBot="1">
      <c r="A156" s="659"/>
      <c r="B156" s="577" t="s">
        <v>94</v>
      </c>
      <c r="C156" s="560"/>
      <c r="D156" s="561"/>
      <c r="E156" s="401">
        <f t="shared" si="9"/>
        <v>0</v>
      </c>
      <c r="F156" s="435">
        <v>0</v>
      </c>
      <c r="G156" s="382">
        <v>0</v>
      </c>
      <c r="J156" s="302"/>
    </row>
    <row r="157" spans="1:10" ht="31.5" customHeight="1" hidden="1">
      <c r="A157" s="659"/>
      <c r="B157" s="577" t="s">
        <v>102</v>
      </c>
      <c r="C157" s="560"/>
      <c r="D157" s="561"/>
      <c r="E157" s="401">
        <f t="shared" si="9"/>
        <v>0</v>
      </c>
      <c r="F157" s="435">
        <v>0</v>
      </c>
      <c r="G157" s="382">
        <v>0</v>
      </c>
      <c r="J157" s="302"/>
    </row>
    <row r="158" spans="1:10" ht="18" customHeight="1" thickBot="1">
      <c r="A158" s="579"/>
      <c r="B158" s="578" t="s">
        <v>73</v>
      </c>
      <c r="C158" s="560"/>
      <c r="D158" s="561"/>
      <c r="E158" s="449">
        <f t="shared" si="9"/>
        <v>6000</v>
      </c>
      <c r="F158" s="448">
        <v>6000</v>
      </c>
      <c r="G158" s="495">
        <v>0</v>
      </c>
      <c r="H158" s="313" t="s">
        <v>161</v>
      </c>
      <c r="J158" s="302"/>
    </row>
    <row r="159" spans="1:9" s="302" customFormat="1" ht="13.5" hidden="1" thickBot="1">
      <c r="A159" s="579"/>
      <c r="B159" s="579" t="s">
        <v>28</v>
      </c>
      <c r="C159" s="580">
        <v>1500</v>
      </c>
      <c r="D159" s="581">
        <v>1500</v>
      </c>
      <c r="E159" s="582">
        <f t="shared" si="9"/>
        <v>0</v>
      </c>
      <c r="F159" s="583">
        <v>0</v>
      </c>
      <c r="G159" s="584">
        <v>0</v>
      </c>
      <c r="H159" s="312"/>
      <c r="I159" s="312"/>
    </row>
    <row r="160" spans="1:9" s="302" customFormat="1" ht="5.25" customHeight="1">
      <c r="A160" s="451"/>
      <c r="B160" s="451"/>
      <c r="C160" s="365"/>
      <c r="D160" s="366"/>
      <c r="E160" s="366"/>
      <c r="F160" s="365"/>
      <c r="G160" s="365"/>
      <c r="H160" s="312"/>
      <c r="I160" s="312"/>
    </row>
    <row r="161" spans="1:9" s="302" customFormat="1" ht="16.5" thickBot="1">
      <c r="A161" s="853" t="s">
        <v>17</v>
      </c>
      <c r="B161" s="853"/>
      <c r="C161" s="585"/>
      <c r="D161" s="508"/>
      <c r="E161" s="363">
        <f>SUM(E113+E98+E91+E82+E50+E7+E133+E144+E88+E104+E111+E79)</f>
        <v>5586897.85</v>
      </c>
      <c r="F161" s="363">
        <f>SUM(F113+F98+F91+F82+F50+F7+F133+F144+F88+F104+F111+F79)</f>
        <v>5556897.85</v>
      </c>
      <c r="G161" s="363">
        <f>SUM(G113+G98+G91+G82+G50+G7+G133+G144+G88+G104)</f>
        <v>30000</v>
      </c>
      <c r="H161" s="312"/>
      <c r="I161" s="312"/>
    </row>
    <row r="162" spans="1:4" ht="13.5" thickTop="1">
      <c r="A162" s="666"/>
      <c r="B162" s="666"/>
      <c r="D162" s="366" t="s">
        <v>16</v>
      </c>
    </row>
    <row r="163" spans="1:6" ht="15">
      <c r="A163" s="666"/>
      <c r="B163" s="666"/>
      <c r="C163" s="586"/>
      <c r="F163" s="365" t="s">
        <v>188</v>
      </c>
    </row>
    <row r="164" spans="1:7" ht="12.75">
      <c r="A164" s="666"/>
      <c r="B164" s="666"/>
      <c r="E164" s="365"/>
      <c r="F164" s="365" t="s">
        <v>189</v>
      </c>
      <c r="G164" s="365">
        <f>G78</f>
        <v>0</v>
      </c>
    </row>
    <row r="165" spans="1:7" ht="12.75">
      <c r="A165" s="303"/>
      <c r="B165" s="303"/>
      <c r="E165" s="365"/>
      <c r="F165" s="365" t="s">
        <v>187</v>
      </c>
      <c r="G165" s="365">
        <f>G149</f>
        <v>30000</v>
      </c>
    </row>
    <row r="167" spans="1:10" ht="12.75">
      <c r="A167" s="303"/>
      <c r="B167" s="303"/>
      <c r="J167" s="303" t="s">
        <v>39</v>
      </c>
    </row>
    <row r="168" spans="1:10" ht="12.75">
      <c r="A168" s="303"/>
      <c r="B168" s="303"/>
      <c r="G168" s="587">
        <f>SUM(F161:G161)</f>
        <v>5586897.85</v>
      </c>
      <c r="J168" s="302">
        <f>SUM(G168)-E161</f>
        <v>0</v>
      </c>
    </row>
  </sheetData>
  <sheetProtection/>
  <mergeCells count="51">
    <mergeCell ref="A161:B161"/>
    <mergeCell ref="A150:A152"/>
    <mergeCell ref="B150:B152"/>
    <mergeCell ref="E150:E152"/>
    <mergeCell ref="F150:G150"/>
    <mergeCell ref="F151:F152"/>
    <mergeCell ref="G151:G152"/>
    <mergeCell ref="A130:A132"/>
    <mergeCell ref="B130:B132"/>
    <mergeCell ref="E130:E132"/>
    <mergeCell ref="F130:G130"/>
    <mergeCell ref="F131:F132"/>
    <mergeCell ref="G131:G132"/>
    <mergeCell ref="A116:A118"/>
    <mergeCell ref="B116:B118"/>
    <mergeCell ref="E116:E118"/>
    <mergeCell ref="F116:G116"/>
    <mergeCell ref="F117:F118"/>
    <mergeCell ref="G117:G118"/>
    <mergeCell ref="A94:A96"/>
    <mergeCell ref="B94:B96"/>
    <mergeCell ref="E94:E96"/>
    <mergeCell ref="F94:G94"/>
    <mergeCell ref="F95:F96"/>
    <mergeCell ref="G95:G96"/>
    <mergeCell ref="A68:A70"/>
    <mergeCell ref="B68:B70"/>
    <mergeCell ref="E68:E70"/>
    <mergeCell ref="F68:G68"/>
    <mergeCell ref="F69:F70"/>
    <mergeCell ref="G69:G70"/>
    <mergeCell ref="A35:A37"/>
    <mergeCell ref="B35:B37"/>
    <mergeCell ref="E35:E37"/>
    <mergeCell ref="F35:G35"/>
    <mergeCell ref="F36:F37"/>
    <mergeCell ref="G36:G37"/>
    <mergeCell ref="B10:B13"/>
    <mergeCell ref="E10:E13"/>
    <mergeCell ref="F10:F13"/>
    <mergeCell ref="B19:B20"/>
    <mergeCell ref="E19:E20"/>
    <mergeCell ref="F19:F20"/>
    <mergeCell ref="E1:G1"/>
    <mergeCell ref="E2:G2"/>
    <mergeCell ref="A4:A6"/>
    <mergeCell ref="B4:B6"/>
    <mergeCell ref="E4:E6"/>
    <mergeCell ref="F4:G4"/>
    <mergeCell ref="F5:F6"/>
    <mergeCell ref="G5:G6"/>
  </mergeCells>
  <conditionalFormatting sqref="I1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{78b6a606-d25b-4fbd-9c14-4964d876b35e}</x14:id>
        </ext>
      </extLst>
    </cfRule>
  </conditionalFormatting>
  <conditionalFormatting sqref="A7:A4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{d6e7226a-22c0-41c1-b7ec-5282b9f053f9}</x14:id>
        </ext>
      </extLst>
    </cfRule>
  </conditionalFormatting>
  <printOptions/>
  <pageMargins left="0.7086614173228347" right="0.38" top="0.3" bottom="0.26" header="0.17" footer="0.17"/>
  <pageSetup horizontalDpi="600" verticalDpi="600" orientation="landscape" paperSize="9" scale="69" r:id="rId1"/>
  <rowBreaks count="1" manualBreakCount="1">
    <brk id="89" max="6" man="1"/>
  </rowBreaks>
  <colBreaks count="1" manualBreakCount="1">
    <brk id="7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b6a606-d25b-4fbd-9c14-4964d876b3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I18</xm:sqref>
        </x14:conditionalFormatting>
        <x14:conditionalFormatting xmlns:xm="http://schemas.microsoft.com/office/excel/2006/main">
          <x14:cfRule type="dataBar" id="{d6e7226a-22c0-41c1-b7ec-5282b9f053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A7:A45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skarbnik</dc:creator>
  <cp:keywords/>
  <dc:description/>
  <cp:lastModifiedBy>Magdalena Tomków</cp:lastModifiedBy>
  <cp:lastPrinted>2017-11-20T15:50:24Z</cp:lastPrinted>
  <dcterms:created xsi:type="dcterms:W3CDTF">2002-10-31T12:40:59Z</dcterms:created>
  <dcterms:modified xsi:type="dcterms:W3CDTF">2017-11-20T15:50:27Z</dcterms:modified>
  <cp:category/>
  <cp:version/>
  <cp:contentType/>
  <cp:contentStatus/>
</cp:coreProperties>
</file>